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9020" yWindow="45" windowWidth="18870" windowHeight="10290"/>
  </bookViews>
  <sheets>
    <sheet name="Grand Forks" sheetId="1" r:id="rId1"/>
    <sheet name="Grand Forks Short" sheetId="2" r:id="rId2"/>
    <sheet name="Midway" sheetId="4" r:id="rId3"/>
    <sheet name="Midway Short" sheetId="5" r:id="rId4"/>
  </sheets>
  <definedNames>
    <definedName name="_xlnm.Print_Area" localSheetId="1">'Grand Forks Short'!$A$1:$F$71</definedName>
    <definedName name="_xlnm.Print_Area" localSheetId="3">'Midway Short'!$A$1:$F$94</definedName>
    <definedName name="_xlnm.Print_Titles" localSheetId="0">'Grand Forks'!$1:$1</definedName>
    <definedName name="_xlnm.Print_Titles" localSheetId="1">'Grand Forks Short'!$1:$1</definedName>
    <definedName name="_xlnm.Print_Titles" localSheetId="2">Midway!$1:$1</definedName>
    <definedName name="_xlnm.Print_Titles" localSheetId="3">'Midway Short'!$1:$1</definedName>
  </definedNames>
  <calcPr calcId="145621"/>
</workbook>
</file>

<file path=xl/calcChain.xml><?xml version="1.0" encoding="utf-8"?>
<calcChain xmlns="http://schemas.openxmlformats.org/spreadsheetml/2006/main">
  <c r="I90" i="4" l="1"/>
  <c r="I97" i="4"/>
  <c r="J97" i="4" s="1"/>
  <c r="W97" i="4" s="1"/>
  <c r="I96" i="4"/>
  <c r="F2" i="4"/>
  <c r="I2" i="4"/>
  <c r="I3" i="4"/>
  <c r="I4" i="4"/>
  <c r="I5" i="4"/>
  <c r="I6" i="4"/>
  <c r="I7" i="4"/>
  <c r="J7" i="4" s="1"/>
  <c r="W7" i="4" s="1"/>
  <c r="Z7" i="4" s="1"/>
  <c r="I8" i="4"/>
  <c r="I9" i="4"/>
  <c r="I10" i="4"/>
  <c r="I11" i="4"/>
  <c r="I12" i="4"/>
  <c r="I13" i="4"/>
  <c r="I14" i="4"/>
  <c r="I15" i="4"/>
  <c r="J59" i="1"/>
  <c r="J55" i="1"/>
  <c r="W55" i="1" s="1"/>
  <c r="Z55" i="1" s="1"/>
  <c r="J51" i="1"/>
  <c r="W51" i="1" s="1"/>
  <c r="Z51" i="1" s="1"/>
  <c r="J42" i="1"/>
  <c r="J38" i="1"/>
  <c r="J18" i="1"/>
  <c r="J4" i="1"/>
  <c r="J27" i="1"/>
  <c r="J32" i="1"/>
  <c r="W32" i="1" s="1"/>
  <c r="Z32" i="1" s="1"/>
  <c r="F2" i="1"/>
  <c r="I2" i="1"/>
  <c r="I3" i="1"/>
  <c r="J3" i="1" s="1"/>
  <c r="W3" i="1" s="1"/>
  <c r="Z3" i="1" s="1"/>
  <c r="M3" i="1"/>
  <c r="I4" i="1"/>
  <c r="I5" i="1"/>
  <c r="L5" i="1"/>
  <c r="I6" i="1"/>
  <c r="J6" i="1" s="1"/>
  <c r="I7" i="1"/>
  <c r="I8" i="1"/>
  <c r="M8" i="1"/>
  <c r="J8" i="1" s="1"/>
  <c r="I9" i="1"/>
  <c r="J9" i="1" s="1"/>
  <c r="I10" i="1"/>
  <c r="I11" i="1"/>
  <c r="L11" i="1"/>
  <c r="M11" i="1"/>
  <c r="N11" i="1"/>
  <c r="O11" i="1"/>
  <c r="I12" i="1"/>
  <c r="J12" i="1" s="1"/>
  <c r="W12" i="1" s="1"/>
  <c r="Z12" i="1" s="1"/>
  <c r="M12" i="1"/>
  <c r="N12" i="1"/>
  <c r="F15" i="1"/>
  <c r="F16" i="1" s="1"/>
  <c r="I15" i="1"/>
  <c r="J15" i="1" s="1"/>
  <c r="W15" i="1" s="1"/>
  <c r="I16" i="1"/>
  <c r="J16" i="1" s="1"/>
  <c r="W16" i="1" s="1"/>
  <c r="I17" i="1"/>
  <c r="I18" i="1"/>
  <c r="I19" i="1"/>
  <c r="I20" i="1"/>
  <c r="L20" i="1"/>
  <c r="I21" i="1"/>
  <c r="L21" i="1"/>
  <c r="I22" i="1"/>
  <c r="I23" i="1"/>
  <c r="J23" i="1" s="1"/>
  <c r="I24" i="1"/>
  <c r="I25" i="1"/>
  <c r="I26" i="1"/>
  <c r="I27" i="1"/>
  <c r="I28" i="1"/>
  <c r="J28" i="1" s="1"/>
  <c r="W28" i="1" s="1"/>
  <c r="I29" i="1"/>
  <c r="J29" i="1" s="1"/>
  <c r="W29" i="1" s="1"/>
  <c r="I30" i="1"/>
  <c r="J30" i="1" s="1"/>
  <c r="W30" i="1" s="1"/>
  <c r="I31" i="1"/>
  <c r="J31" i="1" s="1"/>
  <c r="W31" i="1" s="1"/>
  <c r="Z31" i="1" s="1"/>
  <c r="I32" i="1"/>
  <c r="I34" i="1"/>
  <c r="J34" i="1" s="1"/>
  <c r="P34" i="1"/>
  <c r="I35" i="1"/>
  <c r="J35" i="1" s="1"/>
  <c r="I36" i="1"/>
  <c r="I37" i="1"/>
  <c r="Q37" i="1"/>
  <c r="I38" i="1"/>
  <c r="I39" i="1"/>
  <c r="I40" i="1"/>
  <c r="J40" i="1" s="1"/>
  <c r="W40" i="1" s="1"/>
  <c r="I41" i="1"/>
  <c r="I42" i="1"/>
  <c r="I44" i="1"/>
  <c r="W44" i="1"/>
  <c r="I45" i="1"/>
  <c r="J45" i="1" s="1"/>
  <c r="W45" i="1" s="1"/>
  <c r="I46" i="1"/>
  <c r="Q46" i="1"/>
  <c r="I47" i="1"/>
  <c r="Q47" i="1"/>
  <c r="R47" i="1"/>
  <c r="I48" i="1"/>
  <c r="J48" i="1" s="1"/>
  <c r="W48" i="1" s="1"/>
  <c r="I49" i="1"/>
  <c r="J49" i="1" s="1"/>
  <c r="W49" i="1" s="1"/>
  <c r="Z49" i="1" s="1"/>
  <c r="I50" i="1"/>
  <c r="J50" i="1" s="1"/>
  <c r="W50" i="1" s="1"/>
  <c r="I51" i="1"/>
  <c r="I52" i="1"/>
  <c r="J52" i="1" s="1"/>
  <c r="W52" i="1" s="1"/>
  <c r="I53" i="1"/>
  <c r="J53" i="1" s="1"/>
  <c r="W53" i="1" s="1"/>
  <c r="Z53" i="1" s="1"/>
  <c r="I54" i="1"/>
  <c r="J54" i="1" s="1"/>
  <c r="W54" i="1" s="1"/>
  <c r="Z54" i="1" s="1"/>
  <c r="I55" i="1"/>
  <c r="I56" i="1"/>
  <c r="I57" i="1"/>
  <c r="J57" i="1" s="1"/>
  <c r="I58" i="1"/>
  <c r="I59" i="1"/>
  <c r="I60" i="1"/>
  <c r="J60" i="1" s="1"/>
  <c r="I61" i="1"/>
  <c r="J61" i="1" s="1"/>
  <c r="F64" i="1"/>
  <c r="I64" i="1"/>
  <c r="I65" i="1"/>
  <c r="J65" i="1" s="1"/>
  <c r="W65" i="1" s="1"/>
  <c r="Z65" i="1" s="1"/>
  <c r="I66" i="1"/>
  <c r="J66" i="1" s="1"/>
  <c r="W66" i="1" s="1"/>
  <c r="Z66" i="1" s="1"/>
  <c r="I67" i="1"/>
  <c r="I68" i="1"/>
  <c r="L68" i="1"/>
  <c r="I69" i="1"/>
  <c r="J69" i="1" s="1"/>
  <c r="I70" i="1"/>
  <c r="J70" i="1" s="1"/>
  <c r="A1" i="2"/>
  <c r="B1" i="2"/>
  <c r="C1" i="2"/>
  <c r="D1" i="2"/>
  <c r="E1" i="2"/>
  <c r="F1" i="2"/>
  <c r="A2" i="2"/>
  <c r="A3" i="2"/>
  <c r="A4" i="2"/>
  <c r="A5" i="2"/>
  <c r="A6" i="2"/>
  <c r="A7" i="2"/>
  <c r="A8" i="2"/>
  <c r="A9" i="2"/>
  <c r="A10" i="2"/>
  <c r="A11" i="2"/>
  <c r="A12" i="2"/>
  <c r="A15" i="2"/>
  <c r="B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4" i="2"/>
  <c r="A35" i="2"/>
  <c r="A36" i="2"/>
  <c r="A37" i="2"/>
  <c r="A38" i="2"/>
  <c r="A39" i="2"/>
  <c r="A40" i="2"/>
  <c r="A41" i="2"/>
  <c r="A42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5" i="2"/>
  <c r="B65" i="2"/>
  <c r="A66" i="2"/>
  <c r="A67" i="2"/>
  <c r="A68" i="2"/>
  <c r="A69" i="2"/>
  <c r="A70" i="2"/>
  <c r="A71" i="2"/>
  <c r="J2" i="4"/>
  <c r="W2" i="4" s="1"/>
  <c r="X2" i="4" s="1"/>
  <c r="F3" i="4"/>
  <c r="F4" i="4" s="1"/>
  <c r="B4" i="5" s="1"/>
  <c r="J4" i="4"/>
  <c r="W4" i="4" s="1"/>
  <c r="J5" i="4"/>
  <c r="W5" i="4" s="1"/>
  <c r="M6" i="4"/>
  <c r="J6" i="4" s="1"/>
  <c r="W6" i="4" s="1"/>
  <c r="Z6" i="4" s="1"/>
  <c r="M7" i="4"/>
  <c r="J8" i="4"/>
  <c r="W8" i="4" s="1"/>
  <c r="J9" i="4"/>
  <c r="W9" i="4" s="1"/>
  <c r="O10" i="4"/>
  <c r="J10" i="4" s="1"/>
  <c r="W10" i="4" s="1"/>
  <c r="Z10" i="4" s="1"/>
  <c r="J11" i="4"/>
  <c r="W11" i="4" s="1"/>
  <c r="Z11" i="4" s="1"/>
  <c r="J12" i="4"/>
  <c r="W12" i="4" s="1"/>
  <c r="Z12" i="4" s="1"/>
  <c r="J13" i="4"/>
  <c r="W13" i="4" s="1"/>
  <c r="Z13" i="4" s="1"/>
  <c r="J14" i="4"/>
  <c r="W14" i="4" s="1"/>
  <c r="Z14" i="4" s="1"/>
  <c r="J15" i="4"/>
  <c r="W15" i="4" s="1"/>
  <c r="Z15" i="4" s="1"/>
  <c r="I16" i="4"/>
  <c r="J16" i="4" s="1"/>
  <c r="W16" i="4" s="1"/>
  <c r="Z16" i="4" s="1"/>
  <c r="I17" i="4"/>
  <c r="J17" i="4" s="1"/>
  <c r="W17" i="4" s="1"/>
  <c r="Z17" i="4" s="1"/>
  <c r="I18" i="4"/>
  <c r="J18" i="4" s="1"/>
  <c r="W18" i="4" s="1"/>
  <c r="Z18" i="4" s="1"/>
  <c r="I19" i="4"/>
  <c r="J19" i="4" s="1"/>
  <c r="W19" i="4" s="1"/>
  <c r="Z19" i="4" s="1"/>
  <c r="I20" i="4"/>
  <c r="J20" i="4" s="1"/>
  <c r="W20" i="4" s="1"/>
  <c r="Z20" i="4" s="1"/>
  <c r="I21" i="4"/>
  <c r="J21" i="4"/>
  <c r="W21" i="4" s="1"/>
  <c r="Z21" i="4" s="1"/>
  <c r="P21" i="4"/>
  <c r="I22" i="4"/>
  <c r="J22" i="4" s="1"/>
  <c r="W22" i="4" s="1"/>
  <c r="I23" i="4"/>
  <c r="J23" i="4" s="1"/>
  <c r="W23" i="4" s="1"/>
  <c r="I24" i="4"/>
  <c r="J24" i="4" s="1"/>
  <c r="W24" i="4" s="1"/>
  <c r="I25" i="4"/>
  <c r="J25" i="4" s="1"/>
  <c r="W25" i="4" s="1"/>
  <c r="I26" i="4"/>
  <c r="J26" i="4" s="1"/>
  <c r="W26" i="4" s="1"/>
  <c r="I27" i="4"/>
  <c r="J27" i="4" s="1"/>
  <c r="W27" i="4" s="1"/>
  <c r="I28" i="4"/>
  <c r="J28" i="4" s="1"/>
  <c r="W28" i="4" s="1"/>
  <c r="I29" i="4"/>
  <c r="J29" i="4" s="1"/>
  <c r="W29" i="4" s="1"/>
  <c r="I30" i="4"/>
  <c r="J30" i="4" s="1"/>
  <c r="W30" i="4" s="1"/>
  <c r="F33" i="4"/>
  <c r="F34" i="4" s="1"/>
  <c r="I33" i="4"/>
  <c r="J33" i="4"/>
  <c r="W33" i="4" s="1"/>
  <c r="I34" i="4"/>
  <c r="J34" i="4" s="1"/>
  <c r="W34" i="4" s="1"/>
  <c r="I35" i="4"/>
  <c r="J35" i="4" s="1"/>
  <c r="W35" i="4" s="1"/>
  <c r="Z35" i="4" s="1"/>
  <c r="I36" i="4"/>
  <c r="J36" i="4" s="1"/>
  <c r="W36" i="4" s="1"/>
  <c r="Z36" i="4" s="1"/>
  <c r="I37" i="4"/>
  <c r="J37" i="4" s="1"/>
  <c r="W37" i="4" s="1"/>
  <c r="Z37" i="4" s="1"/>
  <c r="L37" i="4"/>
  <c r="I38" i="4"/>
  <c r="J38" i="4" s="1"/>
  <c r="W38" i="4" s="1"/>
  <c r="Z38" i="4" s="1"/>
  <c r="I39" i="4"/>
  <c r="J39" i="4" s="1"/>
  <c r="W39" i="4" s="1"/>
  <c r="Z39" i="4" s="1"/>
  <c r="N39" i="4"/>
  <c r="I40" i="4"/>
  <c r="J40" i="4" s="1"/>
  <c r="W40" i="4" s="1"/>
  <c r="Z40" i="4" s="1"/>
  <c r="I41" i="4"/>
  <c r="J41" i="4" s="1"/>
  <c r="W41" i="4" s="1"/>
  <c r="Z41" i="4" s="1"/>
  <c r="M41" i="4"/>
  <c r="I42" i="4"/>
  <c r="J42" i="4" s="1"/>
  <c r="W42" i="4" s="1"/>
  <c r="I44" i="4"/>
  <c r="J44" i="4" s="1"/>
  <c r="W44" i="4" s="1"/>
  <c r="Z44" i="4" s="1"/>
  <c r="I45" i="4"/>
  <c r="J45" i="4" s="1"/>
  <c r="W45" i="4" s="1"/>
  <c r="Z45" i="4" s="1"/>
  <c r="I46" i="4"/>
  <c r="M46" i="4"/>
  <c r="N46" i="4"/>
  <c r="I47" i="4"/>
  <c r="J47" i="4" s="1"/>
  <c r="W47" i="4" s="1"/>
  <c r="Z47" i="4" s="1"/>
  <c r="I48" i="4"/>
  <c r="J48" i="4"/>
  <c r="W48" i="4" s="1"/>
  <c r="Z48" i="4" s="1"/>
  <c r="I49" i="4"/>
  <c r="P49" i="4"/>
  <c r="Q49" i="4"/>
  <c r="I50" i="4"/>
  <c r="J50" i="4" s="1"/>
  <c r="W50" i="4" s="1"/>
  <c r="I51" i="4"/>
  <c r="J51" i="4" s="1"/>
  <c r="W51" i="4" s="1"/>
  <c r="Z51" i="4" s="1"/>
  <c r="I52" i="4"/>
  <c r="J52" i="4" s="1"/>
  <c r="W52" i="4" s="1"/>
  <c r="Z52" i="4" s="1"/>
  <c r="I53" i="4"/>
  <c r="J53" i="4" s="1"/>
  <c r="W53" i="4" s="1"/>
  <c r="Z53" i="4" s="1"/>
  <c r="I54" i="4"/>
  <c r="J54" i="4" s="1"/>
  <c r="W54" i="4" s="1"/>
  <c r="Z54" i="4" s="1"/>
  <c r="I55" i="4"/>
  <c r="J55" i="4" s="1"/>
  <c r="W55" i="4" s="1"/>
  <c r="Z55" i="4" s="1"/>
  <c r="I56" i="4"/>
  <c r="J56" i="4" s="1"/>
  <c r="W56" i="4" s="1"/>
  <c r="Z56" i="4" s="1"/>
  <c r="I57" i="4"/>
  <c r="J57" i="4" s="1"/>
  <c r="W57" i="4" s="1"/>
  <c r="Z57" i="4" s="1"/>
  <c r="I58" i="4"/>
  <c r="J58" i="4" s="1"/>
  <c r="W58" i="4" s="1"/>
  <c r="Z58" i="4" s="1"/>
  <c r="I59" i="4"/>
  <c r="I60" i="4"/>
  <c r="J60" i="4" s="1"/>
  <c r="W60" i="4" s="1"/>
  <c r="Z60" i="4" s="1"/>
  <c r="I61" i="4"/>
  <c r="J61" i="4" s="1"/>
  <c r="W61" i="4" s="1"/>
  <c r="Z61" i="4" s="1"/>
  <c r="I62" i="4"/>
  <c r="J62" i="4" s="1"/>
  <c r="W62" i="4" s="1"/>
  <c r="Z62" i="4" s="1"/>
  <c r="I63" i="4"/>
  <c r="J63" i="4" s="1"/>
  <c r="W63" i="4" s="1"/>
  <c r="Z63" i="4" s="1"/>
  <c r="I64" i="4"/>
  <c r="J64" i="4" s="1"/>
  <c r="W64" i="4" s="1"/>
  <c r="Z64" i="4" s="1"/>
  <c r="I65" i="4"/>
  <c r="J65" i="4"/>
  <c r="W65" i="4" s="1"/>
  <c r="Z65" i="4" s="1"/>
  <c r="I66" i="4"/>
  <c r="J66" i="4" s="1"/>
  <c r="W66" i="4" s="1"/>
  <c r="Z66" i="4" s="1"/>
  <c r="I69" i="4"/>
  <c r="J69" i="4" s="1"/>
  <c r="W69" i="4" s="1"/>
  <c r="Z69" i="4" s="1"/>
  <c r="I70" i="4"/>
  <c r="M70" i="4"/>
  <c r="I71" i="4"/>
  <c r="J71" i="4" s="1"/>
  <c r="W71" i="4" s="1"/>
  <c r="Z71" i="4" s="1"/>
  <c r="I72" i="4"/>
  <c r="J72" i="4" s="1"/>
  <c r="W72" i="4" s="1"/>
  <c r="Z72" i="4" s="1"/>
  <c r="I73" i="4"/>
  <c r="J73" i="4" s="1"/>
  <c r="W73" i="4" s="1"/>
  <c r="Z73" i="4" s="1"/>
  <c r="I74" i="4"/>
  <c r="J74" i="4" s="1"/>
  <c r="W74" i="4" s="1"/>
  <c r="Z74" i="4" s="1"/>
  <c r="M74" i="4"/>
  <c r="I75" i="4"/>
  <c r="J75" i="4" s="1"/>
  <c r="W75" i="4" s="1"/>
  <c r="I76" i="4"/>
  <c r="J76" i="4" s="1"/>
  <c r="W76" i="4" s="1"/>
  <c r="I77" i="4"/>
  <c r="J77" i="4" s="1"/>
  <c r="W77" i="4" s="1"/>
  <c r="I78" i="4"/>
  <c r="J78" i="4" s="1"/>
  <c r="W78" i="4" s="1"/>
  <c r="I79" i="4"/>
  <c r="J79" i="4" s="1"/>
  <c r="W79" i="4" s="1"/>
  <c r="I80" i="4"/>
  <c r="J80" i="4" s="1"/>
  <c r="W80" i="4" s="1"/>
  <c r="I81" i="4"/>
  <c r="J81" i="4" s="1"/>
  <c r="W81" i="4" s="1"/>
  <c r="I82" i="4"/>
  <c r="M82" i="4"/>
  <c r="I83" i="4"/>
  <c r="J83" i="4" s="1"/>
  <c r="W83" i="4" s="1"/>
  <c r="I84" i="4"/>
  <c r="J84" i="4" s="1"/>
  <c r="W84" i="4" s="1"/>
  <c r="I85" i="4"/>
  <c r="J85" i="4" s="1"/>
  <c r="W85" i="4" s="1"/>
  <c r="I86" i="4"/>
  <c r="J86" i="4" s="1"/>
  <c r="W86" i="4" s="1"/>
  <c r="I87" i="4"/>
  <c r="J87" i="4" s="1"/>
  <c r="W87" i="4" s="1"/>
  <c r="Z87" i="4" s="1"/>
  <c r="M87" i="4"/>
  <c r="I88" i="4"/>
  <c r="J88" i="4" s="1"/>
  <c r="W88" i="4" s="1"/>
  <c r="I89" i="4"/>
  <c r="J89" i="4" s="1"/>
  <c r="W89" i="4" s="1"/>
  <c r="I91" i="4"/>
  <c r="J91" i="4" s="1"/>
  <c r="W91" i="4" s="1"/>
  <c r="I92" i="4"/>
  <c r="J92" i="4" s="1"/>
  <c r="W92" i="4" s="1"/>
  <c r="I93" i="4"/>
  <c r="J93" i="4" s="1"/>
  <c r="W93" i="4" s="1"/>
  <c r="I94" i="4"/>
  <c r="J94" i="4" s="1"/>
  <c r="W94" i="4" s="1"/>
  <c r="Z94" i="4" s="1"/>
  <c r="Q94" i="4"/>
  <c r="I95" i="4"/>
  <c r="J95" i="4" s="1"/>
  <c r="W95" i="4" s="1"/>
  <c r="Z95" i="4" s="1"/>
  <c r="A1" i="5"/>
  <c r="B1" i="5"/>
  <c r="C1" i="5"/>
  <c r="D1" i="5"/>
  <c r="E1" i="5"/>
  <c r="F1" i="5"/>
  <c r="A2" i="5"/>
  <c r="B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3" i="5"/>
  <c r="B33" i="5"/>
  <c r="A34" i="5"/>
  <c r="A35" i="5"/>
  <c r="A36" i="5"/>
  <c r="A37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J82" i="4"/>
  <c r="W82" i="4" s="1"/>
  <c r="Z82" i="4" s="1"/>
  <c r="J70" i="4"/>
  <c r="W70" i="4" s="1"/>
  <c r="Z70" i="4" s="1"/>
  <c r="J59" i="4"/>
  <c r="W59" i="4" s="1"/>
  <c r="Z59" i="4" s="1"/>
  <c r="Z50" i="4"/>
  <c r="F5" i="4"/>
  <c r="B5" i="5" s="1"/>
  <c r="F3" i="1"/>
  <c r="F65" i="1"/>
  <c r="B66" i="2" s="1"/>
  <c r="Z2" i="4"/>
  <c r="B2" i="2"/>
  <c r="F4" i="1"/>
  <c r="B3" i="2"/>
  <c r="F5" i="1"/>
  <c r="F6" i="1" s="1"/>
  <c r="B5" i="2"/>
  <c r="X15" i="1" l="1"/>
  <c r="Z15" i="1"/>
  <c r="F35" i="4"/>
  <c r="F36" i="4" s="1"/>
  <c r="B36" i="5" s="1"/>
  <c r="F37" i="4"/>
  <c r="B34" i="5"/>
  <c r="F20" i="1"/>
  <c r="F17" i="1"/>
  <c r="B16" i="2"/>
  <c r="W22" i="1"/>
  <c r="J22" i="1"/>
  <c r="Z34" i="4"/>
  <c r="B3" i="5"/>
  <c r="J49" i="4"/>
  <c r="W49" i="4" s="1"/>
  <c r="J68" i="1"/>
  <c r="W68" i="1" s="1"/>
  <c r="Z68" i="1" s="1"/>
  <c r="W59" i="1"/>
  <c r="J46" i="1"/>
  <c r="W46" i="1" s="1"/>
  <c r="W42" i="1"/>
  <c r="W19" i="1"/>
  <c r="W8" i="1"/>
  <c r="Z8" i="1" s="1"/>
  <c r="W2" i="1"/>
  <c r="X2" i="1" s="1"/>
  <c r="J26" i="1"/>
  <c r="J5" i="1"/>
  <c r="W5" i="1" s="1"/>
  <c r="Z5" i="1" s="1"/>
  <c r="J19" i="1"/>
  <c r="J39" i="1"/>
  <c r="W39" i="1" s="1"/>
  <c r="Z39" i="1" s="1"/>
  <c r="J56" i="1"/>
  <c r="W56" i="1" s="1"/>
  <c r="Z56" i="1" s="1"/>
  <c r="W20" i="1"/>
  <c r="W38" i="1"/>
  <c r="W35" i="1"/>
  <c r="W21" i="1"/>
  <c r="W18" i="1"/>
  <c r="W4" i="1"/>
  <c r="J2" i="1"/>
  <c r="J10" i="1"/>
  <c r="W10" i="1" s="1"/>
  <c r="Z10" i="1" s="1"/>
  <c r="J20" i="1"/>
  <c r="J24" i="1"/>
  <c r="W24" i="1" s="1"/>
  <c r="Z24" i="1" s="1"/>
  <c r="J36" i="1"/>
  <c r="W36" i="1" s="1"/>
  <c r="Z36" i="1" s="1"/>
  <c r="W60" i="1"/>
  <c r="W34" i="1"/>
  <c r="Z34" i="1" s="1"/>
  <c r="W26" i="1"/>
  <c r="Z26" i="1" s="1"/>
  <c r="F6" i="4"/>
  <c r="B6" i="5" s="1"/>
  <c r="W61" i="1"/>
  <c r="Z61" i="1" s="1"/>
  <c r="W57" i="1"/>
  <c r="J47" i="1"/>
  <c r="W47" i="1" s="1"/>
  <c r="Z47" i="1" s="1"/>
  <c r="W27" i="1"/>
  <c r="W23" i="1"/>
  <c r="W9" i="1"/>
  <c r="W6" i="1"/>
  <c r="Z6" i="1" s="1"/>
  <c r="J7" i="1"/>
  <c r="W7" i="1" s="1"/>
  <c r="Z7" i="1" s="1"/>
  <c r="J11" i="1"/>
  <c r="W11" i="1" s="1"/>
  <c r="Z11" i="1" s="1"/>
  <c r="J17" i="1"/>
  <c r="W17" i="1" s="1"/>
  <c r="Z17" i="1" s="1"/>
  <c r="J21" i="1"/>
  <c r="J25" i="1"/>
  <c r="W25" i="1" s="1"/>
  <c r="Z25" i="1" s="1"/>
  <c r="J37" i="1"/>
  <c r="W37" i="1" s="1"/>
  <c r="Z37" i="1" s="1"/>
  <c r="J41" i="1"/>
  <c r="W41" i="1" s="1"/>
  <c r="Z41" i="1" s="1"/>
  <c r="J58" i="1"/>
  <c r="W58" i="1" s="1"/>
  <c r="Z58" i="1" s="1"/>
  <c r="J90" i="4"/>
  <c r="W90" i="4" s="1"/>
  <c r="Z90" i="4" s="1"/>
  <c r="Z97" i="4"/>
  <c r="J96" i="4"/>
  <c r="W96" i="4" s="1"/>
  <c r="J46" i="4"/>
  <c r="W46" i="4" s="1"/>
  <c r="Z46" i="4" s="1"/>
  <c r="B35" i="5"/>
  <c r="W70" i="1"/>
  <c r="W69" i="1"/>
  <c r="J67" i="1"/>
  <c r="W67" i="1" s="1"/>
  <c r="Z67" i="1" s="1"/>
  <c r="J64" i="1"/>
  <c r="W64" i="1" s="1"/>
  <c r="Z44" i="1"/>
  <c r="Z57" i="1"/>
  <c r="Z52" i="1"/>
  <c r="Z50" i="1"/>
  <c r="Z48" i="1"/>
  <c r="Z46" i="1"/>
  <c r="Z38" i="1"/>
  <c r="Z30" i="1"/>
  <c r="Z29" i="1"/>
  <c r="Z28" i="1"/>
  <c r="F8" i="1"/>
  <c r="F9" i="1"/>
  <c r="B9" i="2" s="1"/>
  <c r="B6" i="2"/>
  <c r="J3" i="4"/>
  <c r="W3" i="4" s="1"/>
  <c r="X3" i="4" s="1"/>
  <c r="F66" i="1"/>
  <c r="Z40" i="1"/>
  <c r="Z35" i="1"/>
  <c r="Z21" i="1"/>
  <c r="Z20" i="1"/>
  <c r="Z16" i="1"/>
  <c r="F21" i="1"/>
  <c r="B20" i="2"/>
  <c r="AA2" i="1"/>
  <c r="X3" i="1"/>
  <c r="B4" i="2"/>
  <c r="F7" i="4"/>
  <c r="F7" i="1"/>
  <c r="Z33" i="4"/>
  <c r="X33" i="4"/>
  <c r="Z45" i="1"/>
  <c r="Z19" i="1"/>
  <c r="Z18" i="1"/>
  <c r="AA2" i="4"/>
  <c r="AA15" i="1"/>
  <c r="Z93" i="4"/>
  <c r="Z92" i="4"/>
  <c r="Z91" i="4"/>
  <c r="Z89" i="4"/>
  <c r="Z88" i="4"/>
  <c r="Z86" i="4"/>
  <c r="Z85" i="4"/>
  <c r="Z84" i="4"/>
  <c r="Z83" i="4"/>
  <c r="Z81" i="4"/>
  <c r="Z80" i="4"/>
  <c r="Z79" i="4"/>
  <c r="Z78" i="4"/>
  <c r="Z77" i="4"/>
  <c r="Z76" i="4"/>
  <c r="Z75" i="4"/>
  <c r="Z49" i="4"/>
  <c r="Z42" i="4"/>
  <c r="Z30" i="4"/>
  <c r="Z29" i="4"/>
  <c r="Z28" i="4"/>
  <c r="Z27" i="4"/>
  <c r="Z26" i="4"/>
  <c r="Z25" i="4"/>
  <c r="Z24" i="4"/>
  <c r="Z23" i="4"/>
  <c r="Z22" i="4"/>
  <c r="Z9" i="4"/>
  <c r="Z8" i="4"/>
  <c r="Z5" i="4"/>
  <c r="Z4" i="4"/>
  <c r="Z70" i="1"/>
  <c r="Z69" i="1"/>
  <c r="Z60" i="1"/>
  <c r="Z59" i="1"/>
  <c r="Z42" i="1"/>
  <c r="Z27" i="1"/>
  <c r="Z23" i="1"/>
  <c r="Z22" i="1"/>
  <c r="Z9" i="1"/>
  <c r="Z4" i="1"/>
  <c r="F18" i="1" l="1"/>
  <c r="B17" i="2"/>
  <c r="Z2" i="1"/>
  <c r="F38" i="4"/>
  <c r="B37" i="5"/>
  <c r="Z96" i="4"/>
  <c r="X64" i="1"/>
  <c r="Z64" i="1"/>
  <c r="B8" i="2"/>
  <c r="F10" i="1"/>
  <c r="AB15" i="1"/>
  <c r="AC15" i="1"/>
  <c r="AA33" i="4"/>
  <c r="X34" i="4"/>
  <c r="B7" i="5"/>
  <c r="F8" i="4"/>
  <c r="AA3" i="1"/>
  <c r="X4" i="1"/>
  <c r="AA4" i="1" s="1"/>
  <c r="X5" i="1"/>
  <c r="F22" i="1"/>
  <c r="B21" i="2"/>
  <c r="F26" i="1"/>
  <c r="F67" i="1"/>
  <c r="B67" i="2"/>
  <c r="X5" i="4"/>
  <c r="AA3" i="4"/>
  <c r="X4" i="4"/>
  <c r="AA4" i="4" s="1"/>
  <c r="AC2" i="4"/>
  <c r="AB2" i="4"/>
  <c r="X16" i="1"/>
  <c r="B7" i="2"/>
  <c r="AB2" i="1"/>
  <c r="AC2" i="1"/>
  <c r="Z3" i="4"/>
  <c r="B38" i="5" l="1"/>
  <c r="F44" i="4"/>
  <c r="F39" i="4"/>
  <c r="B18" i="2"/>
  <c r="F19" i="1"/>
  <c r="B19" i="2" s="1"/>
  <c r="X65" i="1"/>
  <c r="AA64" i="1"/>
  <c r="F11" i="1"/>
  <c r="B10" i="2"/>
  <c r="D2" i="2"/>
  <c r="AE2" i="1"/>
  <c r="F2" i="2" s="1"/>
  <c r="X20" i="1"/>
  <c r="AA16" i="1"/>
  <c r="X17" i="1"/>
  <c r="D2" i="5"/>
  <c r="AE2" i="4"/>
  <c r="F2" i="5" s="1"/>
  <c r="AC4" i="4"/>
  <c r="AB4" i="4"/>
  <c r="X6" i="4"/>
  <c r="AA5" i="4"/>
  <c r="F27" i="1"/>
  <c r="B26" i="2"/>
  <c r="X6" i="1"/>
  <c r="AA5" i="1"/>
  <c r="X8" i="1"/>
  <c r="AB3" i="1"/>
  <c r="AC3" i="1"/>
  <c r="F9" i="4"/>
  <c r="B8" i="5"/>
  <c r="AB33" i="4"/>
  <c r="AC33" i="4"/>
  <c r="AD15" i="1"/>
  <c r="E15" i="2" s="1"/>
  <c r="C15" i="2"/>
  <c r="AD2" i="1"/>
  <c r="E2" i="2" s="1"/>
  <c r="C2" i="2"/>
  <c r="C2" i="5"/>
  <c r="AD2" i="4"/>
  <c r="E2" i="5" s="1"/>
  <c r="AC3" i="4"/>
  <c r="AB3" i="4"/>
  <c r="F68" i="1"/>
  <c r="B68" i="2"/>
  <c r="F23" i="1"/>
  <c r="B22" i="2"/>
  <c r="AB4" i="1"/>
  <c r="AC4" i="1"/>
  <c r="AA34" i="4"/>
  <c r="X37" i="4"/>
  <c r="X35" i="4"/>
  <c r="AE15" i="1"/>
  <c r="F15" i="2" s="1"/>
  <c r="D15" i="2"/>
  <c r="B44" i="5" l="1"/>
  <c r="F45" i="4"/>
  <c r="B45" i="5" s="1"/>
  <c r="F46" i="4"/>
  <c r="F40" i="4"/>
  <c r="B39" i="5"/>
  <c r="X66" i="1"/>
  <c r="AA65" i="1"/>
  <c r="AB64" i="1"/>
  <c r="AC64" i="1"/>
  <c r="F12" i="1"/>
  <c r="B12" i="2" s="1"/>
  <c r="B11" i="2"/>
  <c r="AA37" i="4"/>
  <c r="X38" i="4"/>
  <c r="D4" i="2"/>
  <c r="AE4" i="1"/>
  <c r="F4" i="2" s="1"/>
  <c r="B23" i="2"/>
  <c r="F24" i="1"/>
  <c r="C3" i="5"/>
  <c r="AD3" i="4"/>
  <c r="E3" i="5" s="1"/>
  <c r="AD33" i="4"/>
  <c r="E33" i="5" s="1"/>
  <c r="C33" i="5"/>
  <c r="AE3" i="1"/>
  <c r="F3" i="2" s="1"/>
  <c r="D3" i="2"/>
  <c r="X10" i="1"/>
  <c r="X9" i="1"/>
  <c r="AA9" i="1" s="1"/>
  <c r="AA8" i="1"/>
  <c r="X7" i="1"/>
  <c r="AA7" i="1" s="1"/>
  <c r="AA6" i="1"/>
  <c r="AC5" i="4"/>
  <c r="AB5" i="4"/>
  <c r="C4" i="5"/>
  <c r="AD4" i="4"/>
  <c r="E4" i="5" s="1"/>
  <c r="X18" i="1"/>
  <c r="AA17" i="1"/>
  <c r="X21" i="1"/>
  <c r="AA20" i="1"/>
  <c r="X36" i="4"/>
  <c r="AA36" i="4" s="1"/>
  <c r="AA35" i="4"/>
  <c r="AB34" i="4"/>
  <c r="AC34" i="4"/>
  <c r="C4" i="2"/>
  <c r="AD4" i="1"/>
  <c r="E4" i="2" s="1"/>
  <c r="F69" i="1"/>
  <c r="B69" i="2"/>
  <c r="D3" i="5"/>
  <c r="AE3" i="4"/>
  <c r="F3" i="5" s="1"/>
  <c r="D33" i="5"/>
  <c r="AE33" i="4"/>
  <c r="F33" i="5" s="1"/>
  <c r="F10" i="4"/>
  <c r="B9" i="5"/>
  <c r="AD3" i="1"/>
  <c r="E3" i="2" s="1"/>
  <c r="C3" i="2"/>
  <c r="AB5" i="1"/>
  <c r="AC5" i="1"/>
  <c r="F28" i="1"/>
  <c r="B27" i="2"/>
  <c r="X7" i="4"/>
  <c r="AA6" i="4"/>
  <c r="AE4" i="4"/>
  <c r="F4" i="5" s="1"/>
  <c r="D4" i="5"/>
  <c r="AB16" i="1"/>
  <c r="AC16" i="1"/>
  <c r="B46" i="5" l="1"/>
  <c r="F47" i="4"/>
  <c r="F69" i="4"/>
  <c r="B40" i="5"/>
  <c r="F41" i="4"/>
  <c r="C65" i="2"/>
  <c r="AD64" i="1"/>
  <c r="E65" i="2" s="1"/>
  <c r="X67" i="1"/>
  <c r="AA66" i="1"/>
  <c r="D65" i="2"/>
  <c r="AE64" i="1"/>
  <c r="F65" i="2" s="1"/>
  <c r="AB65" i="1"/>
  <c r="AC65" i="1"/>
  <c r="AD16" i="1"/>
  <c r="E16" i="2" s="1"/>
  <c r="C16" i="2"/>
  <c r="X8" i="4"/>
  <c r="AA7" i="4"/>
  <c r="F29" i="1"/>
  <c r="B28" i="2"/>
  <c r="D5" i="2"/>
  <c r="AE5" i="1"/>
  <c r="F5" i="2" s="1"/>
  <c r="B10" i="5"/>
  <c r="F11" i="4"/>
  <c r="AE34" i="4"/>
  <c r="F34" i="5" s="1"/>
  <c r="D34" i="5"/>
  <c r="AB35" i="4"/>
  <c r="AC35" i="4"/>
  <c r="AB20" i="1"/>
  <c r="AC20" i="1"/>
  <c r="AC17" i="1"/>
  <c r="AB17" i="1"/>
  <c r="AD5" i="4"/>
  <c r="E5" i="5" s="1"/>
  <c r="C5" i="5"/>
  <c r="AB6" i="1"/>
  <c r="AC6" i="1"/>
  <c r="AB8" i="1"/>
  <c r="AC8" i="1"/>
  <c r="X11" i="1"/>
  <c r="AA10" i="1"/>
  <c r="AC37" i="4"/>
  <c r="AB37" i="4"/>
  <c r="AE16" i="1"/>
  <c r="F16" i="2" s="1"/>
  <c r="D16" i="2"/>
  <c r="AB6" i="4"/>
  <c r="AC6" i="4"/>
  <c r="C5" i="2"/>
  <c r="AD5" i="1"/>
  <c r="E5" i="2" s="1"/>
  <c r="F70" i="1"/>
  <c r="B70" i="2"/>
  <c r="C34" i="5"/>
  <c r="AD34" i="4"/>
  <c r="E34" i="5" s="1"/>
  <c r="AB36" i="4"/>
  <c r="AC36" i="4"/>
  <c r="X22" i="1"/>
  <c r="X26" i="1"/>
  <c r="AA21" i="1"/>
  <c r="X19" i="1"/>
  <c r="AA19" i="1" s="1"/>
  <c r="AA18" i="1"/>
  <c r="AE5" i="4"/>
  <c r="F5" i="5" s="1"/>
  <c r="D5" i="5"/>
  <c r="AC7" i="1"/>
  <c r="AB7" i="1"/>
  <c r="AB9" i="1"/>
  <c r="AC9" i="1"/>
  <c r="F25" i="1"/>
  <c r="B24" i="2"/>
  <c r="X44" i="4"/>
  <c r="X39" i="4"/>
  <c r="AA38" i="4"/>
  <c r="F70" i="4" l="1"/>
  <c r="B69" i="5"/>
  <c r="F48" i="4"/>
  <c r="B47" i="5"/>
  <c r="B41" i="5"/>
  <c r="F42" i="4"/>
  <c r="B42" i="5" s="1"/>
  <c r="C66" i="2"/>
  <c r="AD65" i="1"/>
  <c r="E66" i="2" s="1"/>
  <c r="X68" i="1"/>
  <c r="AA67" i="1"/>
  <c r="D66" i="2"/>
  <c r="AE65" i="1"/>
  <c r="F66" i="2" s="1"/>
  <c r="AB66" i="1"/>
  <c r="AC66" i="1"/>
  <c r="AC38" i="4"/>
  <c r="AB38" i="4"/>
  <c r="X40" i="4"/>
  <c r="AA39" i="4"/>
  <c r="B25" i="2"/>
  <c r="C9" i="2"/>
  <c r="AD9" i="1"/>
  <c r="E9" i="2" s="1"/>
  <c r="D7" i="2"/>
  <c r="AE7" i="1"/>
  <c r="F7" i="2" s="1"/>
  <c r="AB19" i="1"/>
  <c r="AC19" i="1"/>
  <c r="X27" i="1"/>
  <c r="AA26" i="1"/>
  <c r="D36" i="5"/>
  <c r="AE36" i="4"/>
  <c r="F36" i="5" s="1"/>
  <c r="B71" i="2"/>
  <c r="D6" i="5"/>
  <c r="AE6" i="4"/>
  <c r="F6" i="5" s="1"/>
  <c r="C37" i="5"/>
  <c r="AD37" i="4"/>
  <c r="E37" i="5" s="1"/>
  <c r="AB10" i="1"/>
  <c r="AC10" i="1"/>
  <c r="D8" i="2"/>
  <c r="AE8" i="1"/>
  <c r="F8" i="2" s="1"/>
  <c r="D6" i="2"/>
  <c r="AE6" i="1"/>
  <c r="F6" i="2" s="1"/>
  <c r="C17" i="2"/>
  <c r="AD17" i="1"/>
  <c r="E17" i="2" s="1"/>
  <c r="D20" i="2"/>
  <c r="AE20" i="1"/>
  <c r="F20" i="2" s="1"/>
  <c r="AE35" i="4"/>
  <c r="F35" i="5" s="1"/>
  <c r="D35" i="5"/>
  <c r="X9" i="4"/>
  <c r="AA8" i="4"/>
  <c r="X46" i="4"/>
  <c r="AA44" i="4"/>
  <c r="X45" i="4"/>
  <c r="AA45" i="4" s="1"/>
  <c r="D9" i="2"/>
  <c r="AE9" i="1"/>
  <c r="F9" i="2" s="1"/>
  <c r="C7" i="2"/>
  <c r="AD7" i="1"/>
  <c r="E7" i="2" s="1"/>
  <c r="AC18" i="1"/>
  <c r="AB18" i="1"/>
  <c r="AC21" i="1"/>
  <c r="AB21" i="1"/>
  <c r="X23" i="1"/>
  <c r="AA22" i="1"/>
  <c r="C36" i="5"/>
  <c r="AD36" i="4"/>
  <c r="E36" i="5" s="1"/>
  <c r="C6" i="5"/>
  <c r="AD6" i="4"/>
  <c r="E6" i="5" s="1"/>
  <c r="AE37" i="4"/>
  <c r="F37" i="5" s="1"/>
  <c r="D37" i="5"/>
  <c r="X12" i="1"/>
  <c r="AA12" i="1" s="1"/>
  <c r="AA11" i="1"/>
  <c r="C8" i="2"/>
  <c r="AD8" i="1"/>
  <c r="E8" i="2" s="1"/>
  <c r="C6" i="2"/>
  <c r="AD6" i="1"/>
  <c r="E6" i="2" s="1"/>
  <c r="AE17" i="1"/>
  <c r="F17" i="2" s="1"/>
  <c r="D17" i="2"/>
  <c r="C20" i="2"/>
  <c r="AD20" i="1"/>
  <c r="E20" i="2" s="1"/>
  <c r="C35" i="5"/>
  <c r="AD35" i="4"/>
  <c r="E35" i="5" s="1"/>
  <c r="F13" i="4"/>
  <c r="F12" i="4"/>
  <c r="B11" i="5"/>
  <c r="F30" i="1"/>
  <c r="B29" i="2"/>
  <c r="AC7" i="4"/>
  <c r="AB7" i="4"/>
  <c r="F50" i="4" l="1"/>
  <c r="B48" i="5"/>
  <c r="F49" i="4"/>
  <c r="B49" i="5" s="1"/>
  <c r="F71" i="4"/>
  <c r="B70" i="5"/>
  <c r="F74" i="4"/>
  <c r="AD66" i="1"/>
  <c r="E67" i="2" s="1"/>
  <c r="C67" i="2"/>
  <c r="X69" i="1"/>
  <c r="AA68" i="1"/>
  <c r="AE66" i="1"/>
  <c r="F67" i="2" s="1"/>
  <c r="D67" i="2"/>
  <c r="AB67" i="1"/>
  <c r="AC67" i="1"/>
  <c r="C7" i="5"/>
  <c r="AD7" i="4"/>
  <c r="E7" i="5" s="1"/>
  <c r="B13" i="5"/>
  <c r="F14" i="4"/>
  <c r="D7" i="5"/>
  <c r="AE7" i="4"/>
  <c r="F7" i="5" s="1"/>
  <c r="AB12" i="1"/>
  <c r="AC12" i="1"/>
  <c r="AC22" i="1"/>
  <c r="AB22" i="1"/>
  <c r="C21" i="2"/>
  <c r="AD21" i="1"/>
  <c r="E21" i="2" s="1"/>
  <c r="AD18" i="1"/>
  <c r="E18" i="2" s="1"/>
  <c r="C18" i="2"/>
  <c r="AC45" i="4"/>
  <c r="AB45" i="4"/>
  <c r="X47" i="4"/>
  <c r="X69" i="4"/>
  <c r="AA46" i="4"/>
  <c r="X10" i="4"/>
  <c r="AA9" i="4"/>
  <c r="C10" i="2"/>
  <c r="AD10" i="1"/>
  <c r="E10" i="2" s="1"/>
  <c r="X28" i="1"/>
  <c r="AA27" i="1"/>
  <c r="C19" i="2"/>
  <c r="AD19" i="1"/>
  <c r="E19" i="2" s="1"/>
  <c r="X41" i="4"/>
  <c r="AA40" i="4"/>
  <c r="AE38" i="4"/>
  <c r="F38" i="5" s="1"/>
  <c r="D38" i="5"/>
  <c r="F31" i="1"/>
  <c r="B30" i="2"/>
  <c r="B12" i="5"/>
  <c r="AB11" i="1"/>
  <c r="AC11" i="1"/>
  <c r="X24" i="1"/>
  <c r="AA23" i="1"/>
  <c r="D21" i="2"/>
  <c r="AE21" i="1"/>
  <c r="F21" i="2" s="1"/>
  <c r="D18" i="2"/>
  <c r="AE18" i="1"/>
  <c r="F18" i="2" s="1"/>
  <c r="AB44" i="4"/>
  <c r="AC44" i="4"/>
  <c r="AC8" i="4"/>
  <c r="AB8" i="4"/>
  <c r="D10" i="2"/>
  <c r="AE10" i="1"/>
  <c r="F10" i="2" s="1"/>
  <c r="AC26" i="1"/>
  <c r="AB26" i="1"/>
  <c r="D19" i="2"/>
  <c r="AE19" i="1"/>
  <c r="F19" i="2" s="1"/>
  <c r="AB39" i="4"/>
  <c r="AC39" i="4"/>
  <c r="C38" i="5"/>
  <c r="AD38" i="4"/>
  <c r="E38" i="5" s="1"/>
  <c r="F75" i="4" l="1"/>
  <c r="B74" i="5"/>
  <c r="B71" i="5"/>
  <c r="F72" i="4"/>
  <c r="B72" i="5" s="1"/>
  <c r="F73" i="4"/>
  <c r="B73" i="5" s="1"/>
  <c r="F51" i="4"/>
  <c r="B50" i="5"/>
  <c r="C68" i="2"/>
  <c r="AD67" i="1"/>
  <c r="E68" i="2" s="1"/>
  <c r="X70" i="1"/>
  <c r="AA70" i="1" s="1"/>
  <c r="AA69" i="1"/>
  <c r="AE67" i="1"/>
  <c r="F68" i="2" s="1"/>
  <c r="D68" i="2"/>
  <c r="AB68" i="1"/>
  <c r="AC68" i="1"/>
  <c r="D39" i="5"/>
  <c r="AE39" i="4"/>
  <c r="F39" i="5" s="1"/>
  <c r="C26" i="2"/>
  <c r="AD26" i="1"/>
  <c r="E26" i="2" s="1"/>
  <c r="D44" i="5"/>
  <c r="AE44" i="4"/>
  <c r="F44" i="5" s="1"/>
  <c r="C39" i="5"/>
  <c r="AD39" i="4"/>
  <c r="E39" i="5" s="1"/>
  <c r="D26" i="2"/>
  <c r="AE26" i="1"/>
  <c r="F26" i="2" s="1"/>
  <c r="D8" i="5"/>
  <c r="AE8" i="4"/>
  <c r="F8" i="5" s="1"/>
  <c r="AD44" i="4"/>
  <c r="E44" i="5" s="1"/>
  <c r="C44" i="5"/>
  <c r="X25" i="1"/>
  <c r="AA25" i="1" s="1"/>
  <c r="AA24" i="1"/>
  <c r="C11" i="2"/>
  <c r="AD11" i="1"/>
  <c r="E11" i="2" s="1"/>
  <c r="AB40" i="4"/>
  <c r="AC40" i="4"/>
  <c r="AB27" i="1"/>
  <c r="AC27" i="1"/>
  <c r="AB9" i="4"/>
  <c r="AC9" i="4"/>
  <c r="AC46" i="4"/>
  <c r="AB46" i="4"/>
  <c r="X48" i="4"/>
  <c r="AA47" i="4"/>
  <c r="AE45" i="4"/>
  <c r="F45" i="5" s="1"/>
  <c r="D45" i="5"/>
  <c r="D22" i="2"/>
  <c r="AE22" i="1"/>
  <c r="F22" i="2" s="1"/>
  <c r="C12" i="2"/>
  <c r="AD12" i="1"/>
  <c r="E12" i="2" s="1"/>
  <c r="F15" i="4"/>
  <c r="B14" i="5"/>
  <c r="F19" i="4"/>
  <c r="C8" i="5"/>
  <c r="AD8" i="4"/>
  <c r="E8" i="5" s="1"/>
  <c r="AB23" i="1"/>
  <c r="AC23" i="1"/>
  <c r="D11" i="2"/>
  <c r="AE11" i="1"/>
  <c r="F11" i="2" s="1"/>
  <c r="F32" i="1"/>
  <c r="B31" i="2"/>
  <c r="X42" i="4"/>
  <c r="AA42" i="4" s="1"/>
  <c r="AA41" i="4"/>
  <c r="X29" i="1"/>
  <c r="AA28" i="1"/>
  <c r="X11" i="4"/>
  <c r="AA10" i="4"/>
  <c r="X70" i="4"/>
  <c r="AA69" i="4"/>
  <c r="AD45" i="4"/>
  <c r="E45" i="5" s="1"/>
  <c r="C45" i="5"/>
  <c r="C22" i="2"/>
  <c r="AD22" i="1"/>
  <c r="E22" i="2" s="1"/>
  <c r="D12" i="2"/>
  <c r="AE12" i="1"/>
  <c r="F12" i="2" s="1"/>
  <c r="B51" i="5" l="1"/>
  <c r="F52" i="4"/>
  <c r="B75" i="5"/>
  <c r="F76" i="4"/>
  <c r="C69" i="2"/>
  <c r="AD68" i="1"/>
  <c r="E69" i="2" s="1"/>
  <c r="AB70" i="1"/>
  <c r="AC70" i="1"/>
  <c r="AE68" i="1"/>
  <c r="F69" i="2" s="1"/>
  <c r="D69" i="2"/>
  <c r="AC69" i="1"/>
  <c r="AB69" i="1"/>
  <c r="X71" i="4"/>
  <c r="X74" i="4"/>
  <c r="AA70" i="4"/>
  <c r="X12" i="4"/>
  <c r="AA12" i="4" s="1"/>
  <c r="X13" i="4"/>
  <c r="AA11" i="4"/>
  <c r="X30" i="1"/>
  <c r="AA29" i="1"/>
  <c r="AC42" i="4"/>
  <c r="AB42" i="4"/>
  <c r="D23" i="2"/>
  <c r="AE23" i="1"/>
  <c r="F23" i="2" s="1"/>
  <c r="AB47" i="4"/>
  <c r="AC47" i="4"/>
  <c r="C46" i="5"/>
  <c r="AD46" i="4"/>
  <c r="E46" i="5" s="1"/>
  <c r="D9" i="5"/>
  <c r="AE9" i="4"/>
  <c r="F9" i="5" s="1"/>
  <c r="D27" i="2"/>
  <c r="AE27" i="1"/>
  <c r="F27" i="2" s="1"/>
  <c r="D40" i="5"/>
  <c r="AE40" i="4"/>
  <c r="F40" i="5" s="1"/>
  <c r="AC25" i="1"/>
  <c r="AB25" i="1"/>
  <c r="AB69" i="4"/>
  <c r="AC69" i="4"/>
  <c r="AB10" i="4"/>
  <c r="AC10" i="4"/>
  <c r="AC28" i="1"/>
  <c r="AB28" i="1"/>
  <c r="AB41" i="4"/>
  <c r="AC41" i="4"/>
  <c r="F34" i="1"/>
  <c r="B32" i="2"/>
  <c r="F44" i="1"/>
  <c r="C23" i="2"/>
  <c r="AD23" i="1"/>
  <c r="E23" i="2" s="1"/>
  <c r="F22" i="4"/>
  <c r="F20" i="4"/>
  <c r="B19" i="5"/>
  <c r="B15" i="5"/>
  <c r="F16" i="4"/>
  <c r="X50" i="4"/>
  <c r="X49" i="4"/>
  <c r="AA49" i="4" s="1"/>
  <c r="AA48" i="4"/>
  <c r="D46" i="5"/>
  <c r="AE46" i="4"/>
  <c r="F46" i="5" s="1"/>
  <c r="C9" i="5"/>
  <c r="AD9" i="4"/>
  <c r="E9" i="5" s="1"/>
  <c r="C27" i="2"/>
  <c r="AD27" i="1"/>
  <c r="E27" i="2" s="1"/>
  <c r="C40" i="5"/>
  <c r="AD40" i="4"/>
  <c r="E40" i="5" s="1"/>
  <c r="AB24" i="1"/>
  <c r="AC24" i="1"/>
  <c r="B52" i="5" l="1"/>
  <c r="F53" i="4"/>
  <c r="F77" i="4"/>
  <c r="B77" i="5" s="1"/>
  <c r="B76" i="5"/>
  <c r="F78" i="4"/>
  <c r="D70" i="2"/>
  <c r="AE69" i="1"/>
  <c r="F70" i="2" s="1"/>
  <c r="AD70" i="1"/>
  <c r="E71" i="2" s="1"/>
  <c r="C71" i="2"/>
  <c r="AD69" i="1"/>
  <c r="E70" i="2" s="1"/>
  <c r="C70" i="2"/>
  <c r="D71" i="2"/>
  <c r="AE70" i="1"/>
  <c r="F71" i="2" s="1"/>
  <c r="D24" i="2"/>
  <c r="AE24" i="1"/>
  <c r="F24" i="2" s="1"/>
  <c r="AC48" i="4"/>
  <c r="AB48" i="4"/>
  <c r="X51" i="4"/>
  <c r="AA50" i="4"/>
  <c r="B16" i="5"/>
  <c r="F17" i="4"/>
  <c r="F21" i="4"/>
  <c r="B20" i="5"/>
  <c r="C41" i="5"/>
  <c r="AD41" i="4"/>
  <c r="E41" i="5" s="1"/>
  <c r="D28" i="2"/>
  <c r="AE28" i="1"/>
  <c r="F28" i="2" s="1"/>
  <c r="C10" i="5"/>
  <c r="AD10" i="4"/>
  <c r="E10" i="5" s="1"/>
  <c r="C69" i="5"/>
  <c r="AD69" i="4"/>
  <c r="E69" i="5" s="1"/>
  <c r="D25" i="2"/>
  <c r="AE25" i="1"/>
  <c r="F25" i="2" s="1"/>
  <c r="D47" i="5"/>
  <c r="AE47" i="4"/>
  <c r="F47" i="5" s="1"/>
  <c r="C42" i="5"/>
  <c r="AD42" i="4"/>
  <c r="E42" i="5" s="1"/>
  <c r="AB29" i="1"/>
  <c r="AC29" i="1"/>
  <c r="AC11" i="4"/>
  <c r="AB11" i="4"/>
  <c r="AB12" i="4"/>
  <c r="AC12" i="4"/>
  <c r="X75" i="4"/>
  <c r="AA74" i="4"/>
  <c r="C24" i="2"/>
  <c r="AD24" i="1"/>
  <c r="E24" i="2" s="1"/>
  <c r="AB49" i="4"/>
  <c r="AC49" i="4"/>
  <c r="F23" i="4"/>
  <c r="B22" i="5"/>
  <c r="B44" i="2"/>
  <c r="F48" i="1"/>
  <c r="F45" i="1"/>
  <c r="F35" i="1"/>
  <c r="B34" i="2"/>
  <c r="D41" i="5"/>
  <c r="AE41" i="4"/>
  <c r="F41" i="5" s="1"/>
  <c r="C28" i="2"/>
  <c r="AD28" i="1"/>
  <c r="E28" i="2" s="1"/>
  <c r="D10" i="5"/>
  <c r="AE10" i="4"/>
  <c r="F10" i="5" s="1"/>
  <c r="D69" i="5"/>
  <c r="AE69" i="4"/>
  <c r="F69" i="5" s="1"/>
  <c r="C25" i="2"/>
  <c r="AD25" i="1"/>
  <c r="E25" i="2" s="1"/>
  <c r="C47" i="5"/>
  <c r="AD47" i="4"/>
  <c r="E47" i="5" s="1"/>
  <c r="D42" i="5"/>
  <c r="AE42" i="4"/>
  <c r="F42" i="5" s="1"/>
  <c r="X31" i="1"/>
  <c r="AA30" i="1"/>
  <c r="X14" i="4"/>
  <c r="AA13" i="4"/>
  <c r="AC70" i="4"/>
  <c r="AB70" i="4"/>
  <c r="X72" i="4"/>
  <c r="AA72" i="4" s="1"/>
  <c r="X73" i="4"/>
  <c r="AA73" i="4" s="1"/>
  <c r="AA71" i="4"/>
  <c r="B53" i="5" l="1"/>
  <c r="F55" i="4"/>
  <c r="F54" i="4"/>
  <c r="B54" i="5" s="1"/>
  <c r="F79" i="4"/>
  <c r="B78" i="5"/>
  <c r="F82" i="4"/>
  <c r="AB73" i="4"/>
  <c r="AC73" i="4"/>
  <c r="C70" i="5"/>
  <c r="AD70" i="4"/>
  <c r="E70" i="5" s="1"/>
  <c r="AB13" i="4"/>
  <c r="AC13" i="4"/>
  <c r="AC30" i="1"/>
  <c r="AB30" i="1"/>
  <c r="B35" i="2"/>
  <c r="F38" i="1"/>
  <c r="F36" i="1"/>
  <c r="F46" i="1"/>
  <c r="B45" i="2"/>
  <c r="F24" i="4"/>
  <c r="B23" i="5"/>
  <c r="C49" i="5"/>
  <c r="AD49" i="4"/>
  <c r="E49" i="5" s="1"/>
  <c r="X76" i="4"/>
  <c r="AA75" i="4"/>
  <c r="C12" i="5"/>
  <c r="AD12" i="4"/>
  <c r="E12" i="5" s="1"/>
  <c r="D11" i="5"/>
  <c r="AE11" i="4"/>
  <c r="F11" i="5" s="1"/>
  <c r="C29" i="2"/>
  <c r="AD29" i="1"/>
  <c r="E29" i="2" s="1"/>
  <c r="F18" i="4"/>
  <c r="B17" i="5"/>
  <c r="X52" i="4"/>
  <c r="AA51" i="4"/>
  <c r="D48" i="5"/>
  <c r="AE48" i="4"/>
  <c r="F48" i="5" s="1"/>
  <c r="AB71" i="4"/>
  <c r="AC71" i="4"/>
  <c r="AB72" i="4"/>
  <c r="AC72" i="4"/>
  <c r="D70" i="5"/>
  <c r="AE70" i="4"/>
  <c r="F70" i="5" s="1"/>
  <c r="X19" i="4"/>
  <c r="X15" i="4"/>
  <c r="AA14" i="4"/>
  <c r="X32" i="1"/>
  <c r="AA31" i="1"/>
  <c r="B48" i="2"/>
  <c r="F49" i="1"/>
  <c r="D49" i="5"/>
  <c r="AE49" i="4"/>
  <c r="F49" i="5" s="1"/>
  <c r="AC74" i="4"/>
  <c r="AB74" i="4"/>
  <c r="D12" i="5"/>
  <c r="AE12" i="4"/>
  <c r="F12" i="5" s="1"/>
  <c r="C11" i="5"/>
  <c r="AD11" i="4"/>
  <c r="E11" i="5" s="1"/>
  <c r="D29" i="2"/>
  <c r="AE29" i="1"/>
  <c r="F29" i="2" s="1"/>
  <c r="B21" i="5"/>
  <c r="AC50" i="4"/>
  <c r="AB50" i="4"/>
  <c r="C48" i="5"/>
  <c r="AD48" i="4"/>
  <c r="E48" i="5" s="1"/>
  <c r="B82" i="5" l="1"/>
  <c r="F83" i="4"/>
  <c r="B83" i="5" s="1"/>
  <c r="F84" i="4"/>
  <c r="B55" i="5"/>
  <c r="F56" i="4"/>
  <c r="F80" i="4"/>
  <c r="B79" i="5"/>
  <c r="C50" i="5"/>
  <c r="AD50" i="4"/>
  <c r="E50" i="5" s="1"/>
  <c r="C74" i="5"/>
  <c r="AD74" i="4"/>
  <c r="E74" i="5" s="1"/>
  <c r="X34" i="1"/>
  <c r="X44" i="1"/>
  <c r="AA32" i="1"/>
  <c r="X16" i="4"/>
  <c r="AA15" i="4"/>
  <c r="D72" i="5"/>
  <c r="AE72" i="4"/>
  <c r="F72" i="5" s="1"/>
  <c r="D71" i="5"/>
  <c r="AE71" i="4"/>
  <c r="F71" i="5" s="1"/>
  <c r="AB51" i="4"/>
  <c r="AC51" i="4"/>
  <c r="B18" i="5"/>
  <c r="X78" i="4"/>
  <c r="X77" i="4"/>
  <c r="AA77" i="4" s="1"/>
  <c r="AA76" i="4"/>
  <c r="B38" i="2"/>
  <c r="F39" i="1"/>
  <c r="C30" i="2"/>
  <c r="AD30" i="1"/>
  <c r="E30" i="2" s="1"/>
  <c r="D13" i="5"/>
  <c r="AE13" i="4"/>
  <c r="F13" i="5" s="1"/>
  <c r="D73" i="5"/>
  <c r="AE73" i="4"/>
  <c r="F73" i="5" s="1"/>
  <c r="D50" i="5"/>
  <c r="AE50" i="4"/>
  <c r="F50" i="5" s="1"/>
  <c r="D74" i="5"/>
  <c r="AE74" i="4"/>
  <c r="F74" i="5" s="1"/>
  <c r="B49" i="2"/>
  <c r="F50" i="1"/>
  <c r="AC31" i="1"/>
  <c r="AB31" i="1"/>
  <c r="AB14" i="4"/>
  <c r="AC14" i="4"/>
  <c r="X22" i="4"/>
  <c r="X20" i="4"/>
  <c r="AA19" i="4"/>
  <c r="C72" i="5"/>
  <c r="AD72" i="4"/>
  <c r="E72" i="5" s="1"/>
  <c r="C71" i="5"/>
  <c r="AD71" i="4"/>
  <c r="E71" i="5" s="1"/>
  <c r="X53" i="4"/>
  <c r="AA52" i="4"/>
  <c r="AC75" i="4"/>
  <c r="AB75" i="4"/>
  <c r="F25" i="4"/>
  <c r="B24" i="5"/>
  <c r="F47" i="1"/>
  <c r="B46" i="2"/>
  <c r="B36" i="2"/>
  <c r="F37" i="1"/>
  <c r="D30" i="2"/>
  <c r="AE30" i="1"/>
  <c r="F30" i="2" s="1"/>
  <c r="C13" i="5"/>
  <c r="AD13" i="4"/>
  <c r="E13" i="5" s="1"/>
  <c r="C73" i="5"/>
  <c r="AD73" i="4"/>
  <c r="E73" i="5" s="1"/>
  <c r="B84" i="5" l="1"/>
  <c r="F85" i="4"/>
  <c r="B80" i="5"/>
  <c r="F81" i="4"/>
  <c r="B81" i="5" s="1"/>
  <c r="F60" i="4"/>
  <c r="B56" i="5"/>
  <c r="F57" i="4"/>
  <c r="B37" i="2"/>
  <c r="B47" i="2"/>
  <c r="C75" i="5"/>
  <c r="AD75" i="4"/>
  <c r="E75" i="5" s="1"/>
  <c r="AC52" i="4"/>
  <c r="AB52" i="4"/>
  <c r="AC19" i="4"/>
  <c r="AB19" i="4"/>
  <c r="X23" i="4"/>
  <c r="AA22" i="4"/>
  <c r="C14" i="5"/>
  <c r="AD14" i="4"/>
  <c r="E14" i="5" s="1"/>
  <c r="D31" i="2"/>
  <c r="AE31" i="1"/>
  <c r="F31" i="2" s="1"/>
  <c r="B50" i="2"/>
  <c r="F51" i="1"/>
  <c r="AB77" i="4"/>
  <c r="AC77" i="4"/>
  <c r="D51" i="5"/>
  <c r="AE51" i="4"/>
  <c r="F51" i="5" s="1"/>
  <c r="AC15" i="4"/>
  <c r="AB15" i="4"/>
  <c r="AB32" i="1"/>
  <c r="AC32" i="1"/>
  <c r="X35" i="1"/>
  <c r="AA34" i="1"/>
  <c r="F26" i="4"/>
  <c r="B25" i="5"/>
  <c r="F30" i="4"/>
  <c r="D75" i="5"/>
  <c r="AE75" i="4"/>
  <c r="F75" i="5" s="1"/>
  <c r="X55" i="4"/>
  <c r="X54" i="4"/>
  <c r="AA54" i="4" s="1"/>
  <c r="X86" i="4"/>
  <c r="AA53" i="4"/>
  <c r="X21" i="4"/>
  <c r="AA21" i="4" s="1"/>
  <c r="AA20" i="4"/>
  <c r="D14" i="5"/>
  <c r="AE14" i="4"/>
  <c r="F14" i="5" s="1"/>
  <c r="C31" i="2"/>
  <c r="AD31" i="1"/>
  <c r="E31" i="2" s="1"/>
  <c r="F40" i="1"/>
  <c r="B39" i="2"/>
  <c r="AC76" i="4"/>
  <c r="AB76" i="4"/>
  <c r="X79" i="4"/>
  <c r="X82" i="4"/>
  <c r="AA78" i="4"/>
  <c r="C51" i="5"/>
  <c r="AD51" i="4"/>
  <c r="E51" i="5" s="1"/>
  <c r="X17" i="4"/>
  <c r="AA16" i="4"/>
  <c r="X45" i="1"/>
  <c r="X48" i="1"/>
  <c r="AA44" i="1"/>
  <c r="F58" i="4" l="1"/>
  <c r="B57" i="5"/>
  <c r="F86" i="4"/>
  <c r="B86" i="5" s="1"/>
  <c r="F87" i="4"/>
  <c r="B85" i="5"/>
  <c r="F61" i="4"/>
  <c r="B60" i="5"/>
  <c r="F66" i="4"/>
  <c r="B66" i="5" s="1"/>
  <c r="X49" i="1"/>
  <c r="AA48" i="1"/>
  <c r="AC44" i="1"/>
  <c r="AB44" i="1"/>
  <c r="X46" i="1"/>
  <c r="AA45" i="1"/>
  <c r="X18" i="4"/>
  <c r="AA18" i="4" s="1"/>
  <c r="AA17" i="4"/>
  <c r="X83" i="4"/>
  <c r="AA83" i="4" s="1"/>
  <c r="X84" i="4"/>
  <c r="AA82" i="4"/>
  <c r="C76" i="5"/>
  <c r="AD76" i="4"/>
  <c r="E76" i="5" s="1"/>
  <c r="F41" i="1"/>
  <c r="F42" i="1"/>
  <c r="B40" i="2"/>
  <c r="AB21" i="4"/>
  <c r="AC21" i="4"/>
  <c r="X56" i="4"/>
  <c r="AA55" i="4"/>
  <c r="B26" i="5"/>
  <c r="F27" i="4"/>
  <c r="AB34" i="1"/>
  <c r="AC34" i="1"/>
  <c r="D32" i="2"/>
  <c r="AE32" i="1"/>
  <c r="F32" i="2" s="1"/>
  <c r="C15" i="5"/>
  <c r="AD15" i="4"/>
  <c r="E15" i="5" s="1"/>
  <c r="D77" i="5"/>
  <c r="AE77" i="4"/>
  <c r="F77" i="5" s="1"/>
  <c r="X24" i="4"/>
  <c r="AA23" i="4"/>
  <c r="D19" i="5"/>
  <c r="AE19" i="4"/>
  <c r="F19" i="5" s="1"/>
  <c r="D52" i="5"/>
  <c r="AE52" i="4"/>
  <c r="F52" i="5" s="1"/>
  <c r="AC16" i="4"/>
  <c r="AB16" i="4"/>
  <c r="AC78" i="4"/>
  <c r="AB78" i="4"/>
  <c r="X80" i="4"/>
  <c r="AA79" i="4"/>
  <c r="D76" i="5"/>
  <c r="AE76" i="4"/>
  <c r="F76" i="5" s="1"/>
  <c r="AB20" i="4"/>
  <c r="AC20" i="4"/>
  <c r="AB53" i="4"/>
  <c r="AC53" i="4"/>
  <c r="AC54" i="4"/>
  <c r="AB54" i="4"/>
  <c r="B30" i="5"/>
  <c r="X36" i="1"/>
  <c r="X38" i="1"/>
  <c r="AA35" i="1"/>
  <c r="C32" i="2"/>
  <c r="AD32" i="1"/>
  <c r="E32" i="2" s="1"/>
  <c r="D15" i="5"/>
  <c r="AE15" i="4"/>
  <c r="F15" i="5" s="1"/>
  <c r="C77" i="5"/>
  <c r="AD77" i="4"/>
  <c r="E77" i="5" s="1"/>
  <c r="F52" i="1"/>
  <c r="B51" i="2"/>
  <c r="AB22" i="4"/>
  <c r="AC22" i="4"/>
  <c r="C19" i="5"/>
  <c r="AD19" i="4"/>
  <c r="E19" i="5" s="1"/>
  <c r="C52" i="5"/>
  <c r="AD52" i="4"/>
  <c r="E52" i="5" s="1"/>
  <c r="B61" i="5" l="1"/>
  <c r="F62" i="4"/>
  <c r="B58" i="5"/>
  <c r="F59" i="4"/>
  <c r="B59" i="5" s="1"/>
  <c r="F88" i="4"/>
  <c r="B87" i="5"/>
  <c r="AA86" i="4"/>
  <c r="C22" i="5"/>
  <c r="AD22" i="4"/>
  <c r="E22" i="5" s="1"/>
  <c r="AB35" i="1"/>
  <c r="AC35" i="1"/>
  <c r="X37" i="1"/>
  <c r="AA37" i="1" s="1"/>
  <c r="AA36" i="1"/>
  <c r="C54" i="5"/>
  <c r="AD54" i="4"/>
  <c r="E54" i="5" s="1"/>
  <c r="D53" i="5"/>
  <c r="AE53" i="4"/>
  <c r="F53" i="5" s="1"/>
  <c r="D20" i="5"/>
  <c r="AE20" i="4"/>
  <c r="F20" i="5" s="1"/>
  <c r="AB79" i="4"/>
  <c r="AC79" i="4"/>
  <c r="C78" i="5"/>
  <c r="AD78" i="4"/>
  <c r="E78" i="5" s="1"/>
  <c r="C16" i="5"/>
  <c r="AD16" i="4"/>
  <c r="E16" i="5" s="1"/>
  <c r="AB23" i="4"/>
  <c r="AC23" i="4"/>
  <c r="C34" i="2"/>
  <c r="AD34" i="1"/>
  <c r="E34" i="2" s="1"/>
  <c r="AB55" i="4"/>
  <c r="AC55" i="4"/>
  <c r="D21" i="5"/>
  <c r="AE21" i="4"/>
  <c r="F21" i="5" s="1"/>
  <c r="B42" i="2"/>
  <c r="AC82" i="4"/>
  <c r="AB82" i="4"/>
  <c r="AB83" i="4"/>
  <c r="AC83" i="4"/>
  <c r="AB18" i="4"/>
  <c r="AC18" i="4"/>
  <c r="X47" i="1"/>
  <c r="AA47" i="1" s="1"/>
  <c r="AA46" i="1"/>
  <c r="D44" i="2"/>
  <c r="AE44" i="1"/>
  <c r="F44" i="2" s="1"/>
  <c r="X50" i="1"/>
  <c r="AA49" i="1"/>
  <c r="D22" i="5"/>
  <c r="AE22" i="4"/>
  <c r="F22" i="5" s="1"/>
  <c r="B52" i="2"/>
  <c r="F53" i="1"/>
  <c r="X39" i="1"/>
  <c r="AA38" i="1"/>
  <c r="D54" i="5"/>
  <c r="AE54" i="4"/>
  <c r="F54" i="5" s="1"/>
  <c r="C53" i="5"/>
  <c r="AD53" i="4"/>
  <c r="E53" i="5" s="1"/>
  <c r="C20" i="5"/>
  <c r="AD20" i="4"/>
  <c r="E20" i="5" s="1"/>
  <c r="X81" i="4"/>
  <c r="AA81" i="4" s="1"/>
  <c r="AA80" i="4"/>
  <c r="D78" i="5"/>
  <c r="AE78" i="4"/>
  <c r="F78" i="5" s="1"/>
  <c r="D16" i="5"/>
  <c r="AE16" i="4"/>
  <c r="F16" i="5" s="1"/>
  <c r="X25" i="4"/>
  <c r="AA24" i="4"/>
  <c r="D34" i="2"/>
  <c r="AE34" i="1"/>
  <c r="F34" i="2" s="1"/>
  <c r="B27" i="5"/>
  <c r="F28" i="4"/>
  <c r="X57" i="4"/>
  <c r="X60" i="4"/>
  <c r="AA56" i="4"/>
  <c r="C21" i="5"/>
  <c r="AD21" i="4"/>
  <c r="E21" i="5" s="1"/>
  <c r="B41" i="2"/>
  <c r="X85" i="4"/>
  <c r="AA84" i="4"/>
  <c r="AB17" i="4"/>
  <c r="AC17" i="4"/>
  <c r="AC45" i="1"/>
  <c r="AB45" i="1"/>
  <c r="C44" i="2"/>
  <c r="AD44" i="1"/>
  <c r="E44" i="2" s="1"/>
  <c r="AB48" i="1"/>
  <c r="AC48" i="1"/>
  <c r="AC86" i="4" l="1"/>
  <c r="AB86" i="4"/>
  <c r="F63" i="4"/>
  <c r="B62" i="5"/>
  <c r="F96" i="4"/>
  <c r="F97" i="4" s="1"/>
  <c r="F89" i="4"/>
  <c r="B88" i="5"/>
  <c r="D48" i="2"/>
  <c r="AE48" i="1"/>
  <c r="F48" i="2" s="1"/>
  <c r="C45" i="2"/>
  <c r="AD45" i="1"/>
  <c r="E45" i="2" s="1"/>
  <c r="D17" i="5"/>
  <c r="AE17" i="4"/>
  <c r="F17" i="5" s="1"/>
  <c r="AB56" i="4"/>
  <c r="AC56" i="4"/>
  <c r="X58" i="4"/>
  <c r="AA57" i="4"/>
  <c r="AB24" i="4"/>
  <c r="AC24" i="4"/>
  <c r="AC80" i="4"/>
  <c r="AB80" i="4"/>
  <c r="AB38" i="1"/>
  <c r="AC38" i="1"/>
  <c r="F54" i="1"/>
  <c r="B53" i="2"/>
  <c r="X51" i="1"/>
  <c r="AA50" i="1"/>
  <c r="AC47" i="1"/>
  <c r="AB47" i="1"/>
  <c r="C18" i="5"/>
  <c r="AD18" i="4"/>
  <c r="E18" i="5" s="1"/>
  <c r="C83" i="5"/>
  <c r="AD83" i="4"/>
  <c r="E83" i="5" s="1"/>
  <c r="D82" i="5"/>
  <c r="AE82" i="4"/>
  <c r="F82" i="5" s="1"/>
  <c r="C55" i="5"/>
  <c r="AD55" i="4"/>
  <c r="E55" i="5" s="1"/>
  <c r="D23" i="5"/>
  <c r="AE23" i="4"/>
  <c r="F23" i="5" s="1"/>
  <c r="D79" i="5"/>
  <c r="AE79" i="4"/>
  <c r="F79" i="5" s="1"/>
  <c r="AC37" i="1"/>
  <c r="AB37" i="1"/>
  <c r="C35" i="2"/>
  <c r="AD35" i="1"/>
  <c r="E35" i="2" s="1"/>
  <c r="AB84" i="4"/>
  <c r="AC84" i="4"/>
  <c r="C48" i="2"/>
  <c r="AD48" i="1"/>
  <c r="E48" i="2" s="1"/>
  <c r="D45" i="2"/>
  <c r="AE45" i="1"/>
  <c r="F45" i="2" s="1"/>
  <c r="C17" i="5"/>
  <c r="AD17" i="4"/>
  <c r="E17" i="5" s="1"/>
  <c r="X87" i="4"/>
  <c r="AA85" i="4"/>
  <c r="X61" i="4"/>
  <c r="X66" i="4"/>
  <c r="AA66" i="4" s="1"/>
  <c r="AA60" i="4"/>
  <c r="B28" i="5"/>
  <c r="F29" i="4"/>
  <c r="X26" i="4"/>
  <c r="X30" i="4"/>
  <c r="AA30" i="4" s="1"/>
  <c r="AA25" i="4"/>
  <c r="AC81" i="4"/>
  <c r="AB81" i="4"/>
  <c r="X40" i="1"/>
  <c r="AA39" i="1"/>
  <c r="AB49" i="1"/>
  <c r="AC49" i="1"/>
  <c r="AB46" i="1"/>
  <c r="AC46" i="1"/>
  <c r="D18" i="5"/>
  <c r="AE18" i="4"/>
  <c r="F18" i="5" s="1"/>
  <c r="D83" i="5"/>
  <c r="AE83" i="4"/>
  <c r="F83" i="5" s="1"/>
  <c r="C82" i="5"/>
  <c r="AD82" i="4"/>
  <c r="E82" i="5" s="1"/>
  <c r="D55" i="5"/>
  <c r="AE55" i="4"/>
  <c r="F55" i="5" s="1"/>
  <c r="C23" i="5"/>
  <c r="AD23" i="4"/>
  <c r="E23" i="5" s="1"/>
  <c r="C79" i="5"/>
  <c r="AD79" i="4"/>
  <c r="E79" i="5" s="1"/>
  <c r="AB36" i="1"/>
  <c r="AC36" i="1"/>
  <c r="D35" i="2"/>
  <c r="AE35" i="1"/>
  <c r="F35" i="2" s="1"/>
  <c r="F64" i="4" l="1"/>
  <c r="B63" i="5"/>
  <c r="F90" i="4"/>
  <c r="B89" i="5"/>
  <c r="F91" i="4"/>
  <c r="AD86" i="4"/>
  <c r="E86" i="5" s="1"/>
  <c r="C86" i="5"/>
  <c r="AE86" i="4"/>
  <c r="F86" i="5" s="1"/>
  <c r="D86" i="5"/>
  <c r="D36" i="2"/>
  <c r="AE36" i="1"/>
  <c r="F36" i="2" s="1"/>
  <c r="C46" i="2"/>
  <c r="AD46" i="1"/>
  <c r="E46" i="2" s="1"/>
  <c r="C49" i="2"/>
  <c r="AD49" i="1"/>
  <c r="E49" i="2" s="1"/>
  <c r="X41" i="1"/>
  <c r="AA41" i="1" s="1"/>
  <c r="X42" i="1"/>
  <c r="AA42" i="1" s="1"/>
  <c r="AA40" i="1"/>
  <c r="D81" i="5"/>
  <c r="AE81" i="4"/>
  <c r="F81" i="5" s="1"/>
  <c r="AB30" i="4"/>
  <c r="AC30" i="4"/>
  <c r="AC66" i="4"/>
  <c r="AB66" i="4"/>
  <c r="AC85" i="4"/>
  <c r="AB85" i="4"/>
  <c r="D84" i="5"/>
  <c r="AE84" i="4"/>
  <c r="F84" i="5" s="1"/>
  <c r="C37" i="2"/>
  <c r="AD37" i="1"/>
  <c r="E37" i="2" s="1"/>
  <c r="C47" i="2"/>
  <c r="AD47" i="1"/>
  <c r="E47" i="2" s="1"/>
  <c r="AC50" i="1"/>
  <c r="AB50" i="1"/>
  <c r="F55" i="1"/>
  <c r="B54" i="2"/>
  <c r="C38" i="2"/>
  <c r="AD38" i="1"/>
  <c r="E38" i="2" s="1"/>
  <c r="D80" i="5"/>
  <c r="AE80" i="4"/>
  <c r="F80" i="5" s="1"/>
  <c r="C24" i="5"/>
  <c r="AD24" i="4"/>
  <c r="E24" i="5" s="1"/>
  <c r="X59" i="4"/>
  <c r="AA59" i="4" s="1"/>
  <c r="AA58" i="4"/>
  <c r="C56" i="5"/>
  <c r="AD56" i="4"/>
  <c r="E56" i="5" s="1"/>
  <c r="C36" i="2"/>
  <c r="AD36" i="1"/>
  <c r="E36" i="2" s="1"/>
  <c r="D46" i="2"/>
  <c r="AE46" i="1"/>
  <c r="F46" i="2" s="1"/>
  <c r="D49" i="2"/>
  <c r="AE49" i="1"/>
  <c r="F49" i="2" s="1"/>
  <c r="AC39" i="1"/>
  <c r="AB39" i="1"/>
  <c r="C81" i="5"/>
  <c r="AD81" i="4"/>
  <c r="E81" i="5" s="1"/>
  <c r="AB25" i="4"/>
  <c r="AC25" i="4"/>
  <c r="X27" i="4"/>
  <c r="AA26" i="4"/>
  <c r="B29" i="5"/>
  <c r="AC60" i="4"/>
  <c r="AB60" i="4"/>
  <c r="X62" i="4"/>
  <c r="AA61" i="4"/>
  <c r="X88" i="4"/>
  <c r="AA87" i="4"/>
  <c r="C84" i="5"/>
  <c r="AD84" i="4"/>
  <c r="E84" i="5" s="1"/>
  <c r="D37" i="2"/>
  <c r="AE37" i="1"/>
  <c r="F37" i="2" s="1"/>
  <c r="D47" i="2"/>
  <c r="AE47" i="1"/>
  <c r="F47" i="2" s="1"/>
  <c r="X52" i="1"/>
  <c r="AA51" i="1"/>
  <c r="D38" i="2"/>
  <c r="AE38" i="1"/>
  <c r="F38" i="2" s="1"/>
  <c r="C80" i="5"/>
  <c r="AD80" i="4"/>
  <c r="E80" i="5" s="1"/>
  <c r="D24" i="5"/>
  <c r="AE24" i="4"/>
  <c r="F24" i="5" s="1"/>
  <c r="AB57" i="4"/>
  <c r="AC57" i="4"/>
  <c r="D56" i="5"/>
  <c r="AE56" i="4"/>
  <c r="F56" i="5" s="1"/>
  <c r="F92" i="4" l="1"/>
  <c r="B90" i="5"/>
  <c r="F65" i="4"/>
  <c r="B65" i="5" s="1"/>
  <c r="B64" i="5"/>
  <c r="D57" i="5"/>
  <c r="AE57" i="4"/>
  <c r="F57" i="5" s="1"/>
  <c r="AB51" i="1"/>
  <c r="AC51" i="1"/>
  <c r="AC87" i="4"/>
  <c r="AB87" i="4"/>
  <c r="AB61" i="4"/>
  <c r="AC61" i="4"/>
  <c r="C60" i="5"/>
  <c r="AD60" i="4"/>
  <c r="E60" i="5" s="1"/>
  <c r="AC26" i="4"/>
  <c r="AB26" i="4"/>
  <c r="D25" i="5"/>
  <c r="AE25" i="4"/>
  <c r="F25" i="5" s="1"/>
  <c r="C39" i="2"/>
  <c r="AD39" i="1"/>
  <c r="E39" i="2" s="1"/>
  <c r="AC59" i="4"/>
  <c r="AB59" i="4"/>
  <c r="C50" i="2"/>
  <c r="AD50" i="1"/>
  <c r="E50" i="2" s="1"/>
  <c r="C85" i="5"/>
  <c r="AD85" i="4"/>
  <c r="E85" i="5" s="1"/>
  <c r="C66" i="5"/>
  <c r="AD66" i="4"/>
  <c r="E66" i="5" s="1"/>
  <c r="D30" i="5"/>
  <c r="AE30" i="4"/>
  <c r="F30" i="5" s="1"/>
  <c r="AB40" i="1"/>
  <c r="AC40" i="1"/>
  <c r="AC41" i="1"/>
  <c r="AB41" i="1"/>
  <c r="C57" i="5"/>
  <c r="AD57" i="4"/>
  <c r="E57" i="5" s="1"/>
  <c r="X53" i="1"/>
  <c r="AA52" i="1"/>
  <c r="X89" i="4"/>
  <c r="X90" i="4" s="1"/>
  <c r="AA90" i="4" s="1"/>
  <c r="AA88" i="4"/>
  <c r="X63" i="4"/>
  <c r="AA62" i="4"/>
  <c r="D60" i="5"/>
  <c r="AE60" i="4"/>
  <c r="F60" i="5" s="1"/>
  <c r="X28" i="4"/>
  <c r="AA27" i="4"/>
  <c r="C25" i="5"/>
  <c r="AD25" i="4"/>
  <c r="E25" i="5" s="1"/>
  <c r="D39" i="2"/>
  <c r="AE39" i="1"/>
  <c r="F39" i="2" s="1"/>
  <c r="AC58" i="4"/>
  <c r="AB58" i="4"/>
  <c r="F56" i="1"/>
  <c r="B55" i="2"/>
  <c r="F57" i="1"/>
  <c r="D50" i="2"/>
  <c r="AE50" i="1"/>
  <c r="F50" i="2" s="1"/>
  <c r="D85" i="5"/>
  <c r="AE85" i="4"/>
  <c r="F85" i="5" s="1"/>
  <c r="D66" i="5"/>
  <c r="AE66" i="4"/>
  <c r="F66" i="5" s="1"/>
  <c r="C30" i="5"/>
  <c r="AD30" i="4"/>
  <c r="E30" i="5" s="1"/>
  <c r="AC42" i="1"/>
  <c r="AB42" i="1"/>
  <c r="F93" i="4" l="1"/>
  <c r="B91" i="5"/>
  <c r="AB90" i="4"/>
  <c r="AD90" i="4" s="1"/>
  <c r="AC90" i="4"/>
  <c r="AE90" i="4" s="1"/>
  <c r="C58" i="5"/>
  <c r="AD58" i="4"/>
  <c r="E58" i="5" s="1"/>
  <c r="D42" i="2"/>
  <c r="AE42" i="1"/>
  <c r="F42" i="2" s="1"/>
  <c r="F58" i="1"/>
  <c r="B57" i="2"/>
  <c r="D58" i="5"/>
  <c r="AE58" i="4"/>
  <c r="F58" i="5" s="1"/>
  <c r="X29" i="4"/>
  <c r="AA29" i="4" s="1"/>
  <c r="AA28" i="4"/>
  <c r="X64" i="4"/>
  <c r="AA63" i="4"/>
  <c r="X91" i="4"/>
  <c r="AA89" i="4"/>
  <c r="X54" i="1"/>
  <c r="AA53" i="1"/>
  <c r="D41" i="2"/>
  <c r="AE41" i="1"/>
  <c r="F41" i="2" s="1"/>
  <c r="C40" i="2"/>
  <c r="AD40" i="1"/>
  <c r="E40" i="2" s="1"/>
  <c r="D59" i="5"/>
  <c r="AE59" i="4"/>
  <c r="F59" i="5" s="1"/>
  <c r="D26" i="5"/>
  <c r="AE26" i="4"/>
  <c r="F26" i="5" s="1"/>
  <c r="C61" i="5"/>
  <c r="AD61" i="4"/>
  <c r="E61" i="5" s="1"/>
  <c r="D87" i="5"/>
  <c r="AE87" i="4"/>
  <c r="F87" i="5" s="1"/>
  <c r="C51" i="2"/>
  <c r="AD51" i="1"/>
  <c r="E51" i="2" s="1"/>
  <c r="C42" i="2"/>
  <c r="AD42" i="1"/>
  <c r="E42" i="2" s="1"/>
  <c r="B56" i="2"/>
  <c r="AB27" i="4"/>
  <c r="AC27" i="4"/>
  <c r="AB62" i="4"/>
  <c r="AC62" i="4"/>
  <c r="AC88" i="4"/>
  <c r="AB88" i="4"/>
  <c r="AC52" i="1"/>
  <c r="AB52" i="1"/>
  <c r="C41" i="2"/>
  <c r="AD41" i="1"/>
  <c r="E41" i="2" s="1"/>
  <c r="D40" i="2"/>
  <c r="AE40" i="1"/>
  <c r="F40" i="2" s="1"/>
  <c r="C59" i="5"/>
  <c r="AD59" i="4"/>
  <c r="E59" i="5" s="1"/>
  <c r="C26" i="5"/>
  <c r="AD26" i="4"/>
  <c r="E26" i="5" s="1"/>
  <c r="D61" i="5"/>
  <c r="AE61" i="4"/>
  <c r="F61" i="5" s="1"/>
  <c r="C87" i="5"/>
  <c r="AD87" i="4"/>
  <c r="E87" i="5" s="1"/>
  <c r="D51" i="2"/>
  <c r="AE51" i="1"/>
  <c r="F51" i="2" s="1"/>
  <c r="F94" i="4" l="1"/>
  <c r="B92" i="5"/>
  <c r="AC53" i="1"/>
  <c r="AB53" i="1"/>
  <c r="AB89" i="4"/>
  <c r="AC89" i="4"/>
  <c r="AB63" i="4"/>
  <c r="AC63" i="4"/>
  <c r="AC28" i="4"/>
  <c r="AB28" i="4"/>
  <c r="F59" i="1"/>
  <c r="F60" i="1"/>
  <c r="B58" i="2"/>
  <c r="C52" i="2"/>
  <c r="AD52" i="1"/>
  <c r="E52" i="2" s="1"/>
  <c r="C88" i="5"/>
  <c r="AD88" i="4"/>
  <c r="E88" i="5" s="1"/>
  <c r="D62" i="5"/>
  <c r="AE62" i="4"/>
  <c r="F62" i="5" s="1"/>
  <c r="D27" i="5"/>
  <c r="AE27" i="4"/>
  <c r="F27" i="5" s="1"/>
  <c r="D52" i="2"/>
  <c r="AE52" i="1"/>
  <c r="F52" i="2" s="1"/>
  <c r="D88" i="5"/>
  <c r="AE88" i="4"/>
  <c r="F88" i="5" s="1"/>
  <c r="C62" i="5"/>
  <c r="AD62" i="4"/>
  <c r="E62" i="5" s="1"/>
  <c r="C27" i="5"/>
  <c r="AD27" i="4"/>
  <c r="E27" i="5" s="1"/>
  <c r="X55" i="1"/>
  <c r="AA54" i="1"/>
  <c r="X92" i="4"/>
  <c r="AA91" i="4"/>
  <c r="X65" i="4"/>
  <c r="AA65" i="4" s="1"/>
  <c r="AA64" i="4"/>
  <c r="AC29" i="4"/>
  <c r="AB29" i="4"/>
  <c r="B93" i="5" l="1"/>
  <c r="F95" i="4"/>
  <c r="B94" i="5" s="1"/>
  <c r="C29" i="5"/>
  <c r="AD29" i="4"/>
  <c r="E29" i="5" s="1"/>
  <c r="AC91" i="4"/>
  <c r="AB91" i="4"/>
  <c r="D29" i="5"/>
  <c r="AE29" i="4"/>
  <c r="F29" i="5" s="1"/>
  <c r="AC65" i="4"/>
  <c r="AB65" i="4"/>
  <c r="X93" i="4"/>
  <c r="AA92" i="4"/>
  <c r="X57" i="1"/>
  <c r="X56" i="1"/>
  <c r="AA56" i="1" s="1"/>
  <c r="AA55" i="1"/>
  <c r="B59" i="2"/>
  <c r="D28" i="5"/>
  <c r="AE28" i="4"/>
  <c r="F28" i="5" s="1"/>
  <c r="C63" i="5"/>
  <c r="AD63" i="4"/>
  <c r="E63" i="5" s="1"/>
  <c r="C89" i="5"/>
  <c r="AD89" i="4"/>
  <c r="E89" i="5" s="1"/>
  <c r="D53" i="2"/>
  <c r="AE53" i="1"/>
  <c r="F53" i="2" s="1"/>
  <c r="AB64" i="4"/>
  <c r="AC64" i="4"/>
  <c r="AC54" i="1"/>
  <c r="AB54" i="1"/>
  <c r="F61" i="1"/>
  <c r="B60" i="2"/>
  <c r="C28" i="5"/>
  <c r="AD28" i="4"/>
  <c r="E28" i="5" s="1"/>
  <c r="D63" i="5"/>
  <c r="AE63" i="4"/>
  <c r="F63" i="5" s="1"/>
  <c r="D89" i="5"/>
  <c r="AE89" i="4"/>
  <c r="F89" i="5" s="1"/>
  <c r="C53" i="2"/>
  <c r="AD53" i="1"/>
  <c r="E53" i="2" s="1"/>
  <c r="C54" i="2" l="1"/>
  <c r="AD54" i="1"/>
  <c r="E54" i="2" s="1"/>
  <c r="D64" i="5"/>
  <c r="AE64" i="4"/>
  <c r="F64" i="5" s="1"/>
  <c r="AC55" i="1"/>
  <c r="AB55" i="1"/>
  <c r="X58" i="1"/>
  <c r="AA57" i="1"/>
  <c r="X94" i="4"/>
  <c r="AA93" i="4"/>
  <c r="D65" i="5"/>
  <c r="AE65" i="4"/>
  <c r="F65" i="5" s="1"/>
  <c r="D90" i="5"/>
  <c r="AE91" i="4"/>
  <c r="F90" i="5" s="1"/>
  <c r="B61" i="2"/>
  <c r="D54" i="2"/>
  <c r="AE54" i="1"/>
  <c r="F54" i="2" s="1"/>
  <c r="C64" i="5"/>
  <c r="AD64" i="4"/>
  <c r="E64" i="5" s="1"/>
  <c r="AC56" i="1"/>
  <c r="AB56" i="1"/>
  <c r="AC92" i="4"/>
  <c r="AB92" i="4"/>
  <c r="C65" i="5"/>
  <c r="AD65" i="4"/>
  <c r="E65" i="5" s="1"/>
  <c r="C90" i="5"/>
  <c r="AD91" i="4"/>
  <c r="E90" i="5" s="1"/>
  <c r="C91" i="5" l="1"/>
  <c r="AD92" i="4"/>
  <c r="E91" i="5" s="1"/>
  <c r="C56" i="2"/>
  <c r="AD56" i="1"/>
  <c r="E56" i="2" s="1"/>
  <c r="AC93" i="4"/>
  <c r="AB93" i="4"/>
  <c r="AC57" i="1"/>
  <c r="AB57" i="1"/>
  <c r="C55" i="2"/>
  <c r="AD55" i="1"/>
  <c r="E55" i="2" s="1"/>
  <c r="D91" i="5"/>
  <c r="AE92" i="4"/>
  <c r="F91" i="5" s="1"/>
  <c r="D56" i="2"/>
  <c r="AE56" i="1"/>
  <c r="F56" i="2" s="1"/>
  <c r="X95" i="4"/>
  <c r="AA94" i="4"/>
  <c r="X59" i="1"/>
  <c r="AA59" i="1" s="1"/>
  <c r="X60" i="1"/>
  <c r="AA58" i="1"/>
  <c r="D55" i="2"/>
  <c r="AE55" i="1"/>
  <c r="F55" i="2" s="1"/>
  <c r="AA95" i="4" l="1"/>
  <c r="AB95" i="4" s="1"/>
  <c r="X96" i="4"/>
  <c r="AC58" i="1"/>
  <c r="AB58" i="1"/>
  <c r="AC59" i="1"/>
  <c r="AB59" i="1"/>
  <c r="AC95" i="4"/>
  <c r="D57" i="2"/>
  <c r="AE57" i="1"/>
  <c r="F57" i="2" s="1"/>
  <c r="D92" i="5"/>
  <c r="AE93" i="4"/>
  <c r="F92" i="5" s="1"/>
  <c r="X61" i="1"/>
  <c r="AA61" i="1" s="1"/>
  <c r="AA60" i="1"/>
  <c r="AB94" i="4"/>
  <c r="AC94" i="4"/>
  <c r="C57" i="2"/>
  <c r="AD57" i="1"/>
  <c r="E57" i="2" s="1"/>
  <c r="C92" i="5"/>
  <c r="AD93" i="4"/>
  <c r="E92" i="5" s="1"/>
  <c r="X97" i="4" l="1"/>
  <c r="AA96" i="4"/>
  <c r="D93" i="5"/>
  <c r="AE94" i="4"/>
  <c r="F93" i="5" s="1"/>
  <c r="C93" i="5"/>
  <c r="AD94" i="4"/>
  <c r="E93" i="5" s="1"/>
  <c r="AC61" i="1"/>
  <c r="AB61" i="1"/>
  <c r="D94" i="5"/>
  <c r="AE95" i="4"/>
  <c r="F94" i="5" s="1"/>
  <c r="D59" i="2"/>
  <c r="AE59" i="1"/>
  <c r="F59" i="2" s="1"/>
  <c r="D58" i="2"/>
  <c r="AE58" i="1"/>
  <c r="F58" i="2" s="1"/>
  <c r="AB60" i="1"/>
  <c r="AC60" i="1"/>
  <c r="C94" i="5"/>
  <c r="AD95" i="4"/>
  <c r="E94" i="5" s="1"/>
  <c r="C59" i="2"/>
  <c r="AD59" i="1"/>
  <c r="E59" i="2" s="1"/>
  <c r="C58" i="2"/>
  <c r="AD58" i="1"/>
  <c r="E58" i="2" s="1"/>
  <c r="AA97" i="4" l="1"/>
  <c r="AB96" i="4"/>
  <c r="AD96" i="4" s="1"/>
  <c r="AC96" i="4"/>
  <c r="AE96" i="4" s="1"/>
  <c r="D60" i="2"/>
  <c r="AE60" i="1"/>
  <c r="F60" i="2" s="1"/>
  <c r="C60" i="2"/>
  <c r="AD60" i="1"/>
  <c r="E60" i="2" s="1"/>
  <c r="D61" i="2"/>
  <c r="AE61" i="1"/>
  <c r="F61" i="2" s="1"/>
  <c r="C61" i="2"/>
  <c r="AD61" i="1"/>
  <c r="E61" i="2" s="1"/>
  <c r="AB97" i="4" l="1"/>
  <c r="AD97" i="4" s="1"/>
  <c r="AC97" i="4"/>
  <c r="AE97" i="4" s="1"/>
</calcChain>
</file>

<file path=xl/comments1.xml><?xml version="1.0" encoding="utf-8"?>
<comments xmlns="http://schemas.openxmlformats.org/spreadsheetml/2006/main">
  <authors>
    <author>A satisfied Microsoft Office user</author>
    <author>ABARCLAY</author>
  </authors>
  <commentList>
    <comment ref="X3" authorId="0">
      <text>
        <r>
          <rPr>
            <sz val="8"/>
            <color indexed="81"/>
            <rFont val="Tahoma"/>
          </rPr>
          <t>ABARCLAY:
0.5 minute added for delay to get on and off highway (added at 1 point only but accounts for re-entry to highway with loaded truck).</t>
        </r>
      </text>
    </comment>
    <comment ref="L8" authorId="1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0.9 km is now at either 80 or 100 km.  Half distance put at 80 kph, half at 100 kph</t>
        </r>
      </text>
    </comment>
    <comment ref="M8" authorId="1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0.7 km @ 60 kph for summer and 70 kph for winter.  0.35 km put to 60 and .35 to 70 kph</t>
        </r>
      </text>
    </comment>
    <comment ref="N8" authorId="1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0.7 km @ 60 kph for summer and 70 kph for winter.  0.35 km put to 60 and .35 to 70 kph</t>
        </r>
      </text>
    </comment>
    <comment ref="P12" authorId="0">
      <text>
        <r>
          <rPr>
            <sz val="8"/>
            <color indexed="81"/>
            <rFont val="Tahoma"/>
          </rPr>
          <t>ABARCLAY:
Distance moved from speed limit to more closely reflect time study speeds</t>
        </r>
      </text>
    </comment>
    <comment ref="X16" authorId="0">
      <text>
        <r>
          <rPr>
            <sz val="8"/>
            <color indexed="81"/>
            <rFont val="Tahoma"/>
          </rPr>
          <t>ABARCLAY:
0.5 minute added for delay to get on and off highway (added at 1 point only but accounts for re-entry to highway with loaded truck).</t>
        </r>
      </text>
    </comment>
    <comment ref="X17" authorId="0">
      <text>
        <r>
          <rPr>
            <sz val="8"/>
            <color indexed="81"/>
            <rFont val="Tahoma"/>
          </rPr>
          <t>ABARCLAY:
2 minutes added for delays going through town and stop lights.</t>
        </r>
      </text>
    </comment>
    <comment ref="L20" authorId="0">
      <text>
        <r>
          <rPr>
            <sz val="8"/>
            <color indexed="81"/>
            <rFont val="Tahoma"/>
          </rPr>
          <t>Changed from posted due to winding road and adverse with loaded trucks.</t>
        </r>
      </text>
    </comment>
    <comment ref="N20" authorId="0">
      <text>
        <r>
          <rPr>
            <sz val="8"/>
            <color indexed="81"/>
            <rFont val="Tahoma"/>
          </rPr>
          <t>Changed from posted due to winding road and adverse with loaded trucks.</t>
        </r>
      </text>
    </comment>
    <comment ref="O20" authorId="0">
      <text>
        <r>
          <rPr>
            <sz val="8"/>
            <color indexed="81"/>
            <rFont val="Tahoma"/>
          </rPr>
          <t>Changed from posted due to winding road and adverse with loaded trucks.</t>
        </r>
      </text>
    </comment>
    <comment ref="L21" authorId="0">
      <text>
        <r>
          <rPr>
            <sz val="8"/>
            <color indexed="81"/>
            <rFont val="Tahoma"/>
          </rPr>
          <t>Changed from posted due to winding road and adverse with loaded trucks.</t>
        </r>
      </text>
    </comment>
    <comment ref="N21" authorId="0">
      <text>
        <r>
          <rPr>
            <sz val="8"/>
            <color indexed="81"/>
            <rFont val="Tahoma"/>
          </rPr>
          <t>Changed from posted due to winding road and adverse with loaded trucks.</t>
        </r>
      </text>
    </comment>
    <comment ref="O21" authorId="0">
      <text>
        <r>
          <rPr>
            <sz val="8"/>
            <color indexed="81"/>
            <rFont val="Tahoma"/>
          </rPr>
          <t>Changed from posted due to winding road and adverse with loaded trucks.</t>
        </r>
      </text>
    </comment>
    <comment ref="E59" authorId="1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Odometer from time study</t>
        </r>
      </text>
    </comment>
    <comment ref="I59" authorId="1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Odometer from time study</t>
        </r>
      </text>
    </comment>
    <comment ref="X64" authorId="0">
      <text>
        <r>
          <rPr>
            <sz val="8"/>
            <color indexed="81"/>
            <rFont val="Tahoma"/>
          </rPr>
          <t>ABARCLAY:
0.4 minute added for 4 way stop delay.</t>
        </r>
      </text>
    </comment>
    <comment ref="X65" authorId="0">
      <text>
        <r>
          <rPr>
            <sz val="8"/>
            <color indexed="81"/>
            <rFont val="Tahoma"/>
          </rPr>
          <t>ABARCLAY:
0.5 minute added for delay to get on and off highway (added at 1 point only but accounts for re-entry to highway with loaded truck).</t>
        </r>
      </text>
    </comment>
    <comment ref="X66" authorId="0">
      <text>
        <r>
          <rPr>
            <sz val="8"/>
            <color indexed="81"/>
            <rFont val="Tahoma"/>
          </rPr>
          <t>ABARCLAY:
2 minutes added for delays going through town and stop lights.</t>
        </r>
      </text>
    </comment>
  </commentList>
</comments>
</file>

<file path=xl/comments2.xml><?xml version="1.0" encoding="utf-8"?>
<comments xmlns="http://schemas.openxmlformats.org/spreadsheetml/2006/main">
  <authors>
    <author>A satisfied Microsoft Office user</author>
    <author>Loreen Hodgkinson</author>
    <author>ABARCLAY</author>
  </authors>
  <commentList>
    <comment ref="X2" authorId="0">
      <text>
        <r>
          <rPr>
            <sz val="8"/>
            <color indexed="81"/>
            <rFont val="Tahoma"/>
          </rPr>
          <t>ABARCLAY:
0.5 minute added for delay to get on and off highway (added at 1 point only but accounts for re-entry to highway with loaded truck).</t>
        </r>
      </text>
    </comment>
    <comment ref="G5" authorId="1">
      <text>
        <r>
          <rPr>
            <b/>
            <sz val="8"/>
            <color indexed="81"/>
            <rFont val="Tahoma"/>
            <charset val="1"/>
          </rPr>
          <t>Loreen Hodgkinson:</t>
        </r>
        <r>
          <rPr>
            <sz val="8"/>
            <color indexed="81"/>
            <rFont val="Tahoma"/>
            <charset val="1"/>
          </rPr>
          <t xml:space="preserve">
Myers Cr</t>
        </r>
      </text>
    </comment>
    <comment ref="E21" authorId="2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From Odometer - WL 1773 study</t>
        </r>
      </text>
    </comment>
    <comment ref="I21" authorId="2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From Odometer - WL 1773 study</t>
        </r>
      </text>
    </comment>
    <comment ref="P21" authorId="2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Derived by field estimate with R. Frank &amp; WL 1773 Licensee</t>
        </r>
      </text>
    </comment>
    <comment ref="Q21" authorId="2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Derived by field estimate with R. Frank &amp; WL 1773 Licensee</t>
        </r>
      </text>
    </comment>
    <comment ref="R21" authorId="2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Derived by field estimate with R. Frank &amp; WL 1773 Licensee</t>
        </r>
      </text>
    </comment>
    <comment ref="X33" authorId="0">
      <text>
        <r>
          <rPr>
            <sz val="8"/>
            <color indexed="81"/>
            <rFont val="Tahoma"/>
          </rPr>
          <t>ABARCLAY:
0.5 minute added for delay to get on and off highway (added at 1 point only but accounts for re-entry to highway with loaded truck).</t>
        </r>
      </text>
    </comment>
    <comment ref="I65" authorId="2">
      <text>
        <r>
          <rPr>
            <b/>
            <sz val="8"/>
            <color indexed="81"/>
            <rFont val="Tahoma"/>
          </rPr>
          <t>ABARCLAY:</t>
        </r>
        <r>
          <rPr>
            <sz val="8"/>
            <color indexed="81"/>
            <rFont val="Tahoma"/>
          </rPr>
          <t xml:space="preserve">
Odometer from time study</t>
        </r>
      </text>
    </comment>
    <comment ref="O89" authorId="0">
      <text>
        <r>
          <rPr>
            <sz val="8"/>
            <color indexed="81"/>
            <rFont val="Tahoma"/>
          </rPr>
          <t>Dave Wilson:
 50 km posted agreed to by R.Frank &amp; D.Wilson</t>
        </r>
      </text>
    </comment>
    <comment ref="O94" authorId="0">
      <text>
        <r>
          <rPr>
            <sz val="8"/>
            <color indexed="81"/>
            <rFont val="Tahoma"/>
          </rPr>
          <t>ABARCLAY:
Speeds agreed by Dave &amp; Randy</t>
        </r>
      </text>
    </comment>
  </commentList>
</comments>
</file>

<file path=xl/sharedStrings.xml><?xml version="1.0" encoding="utf-8"?>
<sst xmlns="http://schemas.openxmlformats.org/spreadsheetml/2006/main" count="928" uniqueCount="452">
  <si>
    <t>Area</t>
  </si>
  <si>
    <t>Section</t>
  </si>
  <si>
    <t>Start</t>
  </si>
  <si>
    <t>End</t>
  </si>
  <si>
    <t>Segment Length</t>
  </si>
  <si>
    <t>Segm't Length</t>
  </si>
  <si>
    <t>Seg Time</t>
  </si>
  <si>
    <t>Cum Time</t>
  </si>
  <si>
    <t>Time Study Speed</t>
  </si>
  <si>
    <t>Ave. Seg Speed</t>
  </si>
  <si>
    <t>Ave. Cum Speed</t>
  </si>
  <si>
    <t>Loaded Speed (85%)</t>
  </si>
  <si>
    <t>Empty Speed (95%)</t>
  </si>
  <si>
    <t>Loaded Time (min's)</t>
  </si>
  <si>
    <t>Empty Time (min's)</t>
  </si>
  <si>
    <t>GF-E</t>
  </si>
  <si>
    <t>SA01</t>
  </si>
  <si>
    <t>A01</t>
  </si>
  <si>
    <t>A02</t>
  </si>
  <si>
    <t>Grand Forks Mill</t>
  </si>
  <si>
    <t>68th Ave and Hwy 3</t>
  </si>
  <si>
    <t>SC01</t>
  </si>
  <si>
    <t>C01</t>
  </si>
  <si>
    <t>Hwy 3 - Gilpin FSR</t>
  </si>
  <si>
    <t>SD01</t>
  </si>
  <si>
    <t>D01</t>
  </si>
  <si>
    <t>Gilpin-Dan O'Rea Jct</t>
  </si>
  <si>
    <t>SC02</t>
  </si>
  <si>
    <t>C02</t>
  </si>
  <si>
    <t>Hwy 3 - Stewart Cr FSR</t>
  </si>
  <si>
    <t>SE01</t>
  </si>
  <si>
    <t>E01</t>
  </si>
  <si>
    <t>Stewart-Moody Cr Jct</t>
  </si>
  <si>
    <t>SE02</t>
  </si>
  <si>
    <t>E02</t>
  </si>
  <si>
    <t>Stewart-Stewart 1400 Jct</t>
  </si>
  <si>
    <t>SC03</t>
  </si>
  <si>
    <t>C03</t>
  </si>
  <si>
    <t>Hwy 3 - Santa Rosa Jct</t>
  </si>
  <si>
    <t>SCA01</t>
  </si>
  <si>
    <t>CA01</t>
  </si>
  <si>
    <t>Santa Rosa - Trout Creek</t>
  </si>
  <si>
    <t>SC04</t>
  </si>
  <si>
    <t>C04</t>
  </si>
  <si>
    <t>Hwy 3 - Fife Rd</t>
  </si>
  <si>
    <t>SC05</t>
  </si>
  <si>
    <t>C05</t>
  </si>
  <si>
    <t>Hwy 3-Paulson Detour Jct</t>
  </si>
  <si>
    <t>SC06</t>
  </si>
  <si>
    <t>C06</t>
  </si>
  <si>
    <t>Hwy 3-Bonanza Cr Jct</t>
  </si>
  <si>
    <t>GF-N</t>
  </si>
  <si>
    <t>SA02.1</t>
  </si>
  <si>
    <t>A02.1</t>
  </si>
  <si>
    <t>Hwy 3-Granby Rd Jct</t>
  </si>
  <si>
    <t>SF00.1</t>
  </si>
  <si>
    <t>F00.1</t>
  </si>
  <si>
    <t>Hwy 3 - North Fork Jct</t>
  </si>
  <si>
    <t>SB00</t>
  </si>
  <si>
    <t>B00</t>
  </si>
  <si>
    <t>North Fork-Hummingbird Bridge</t>
  </si>
  <si>
    <t>SHL</t>
  </si>
  <si>
    <t>A04</t>
  </si>
  <si>
    <t>Granby - Hummingbird Bridge Jct</t>
  </si>
  <si>
    <t>SA02</t>
  </si>
  <si>
    <t>A03</t>
  </si>
  <si>
    <t>Granby-Sand Cr Jnct</t>
  </si>
  <si>
    <t>SA03</t>
  </si>
  <si>
    <t>SB01</t>
  </si>
  <si>
    <t>B01</t>
  </si>
  <si>
    <t>West Granby - Brown Cr Jct</t>
  </si>
  <si>
    <t>SB02</t>
  </si>
  <si>
    <t>B02</t>
  </si>
  <si>
    <t>West Granby - Pass Cr Rd</t>
  </si>
  <si>
    <t>SB03</t>
  </si>
  <si>
    <t>B03</t>
  </si>
  <si>
    <t>Pass Creek - Rock Candy Jct</t>
  </si>
  <si>
    <t>SA04</t>
  </si>
  <si>
    <t>A05</t>
  </si>
  <si>
    <t>Granby - Volcanic Cr Jct</t>
  </si>
  <si>
    <t>SA05</t>
  </si>
  <si>
    <t>A06</t>
  </si>
  <si>
    <t>Granby-Miller Cr Jct</t>
  </si>
  <si>
    <t>SA06</t>
  </si>
  <si>
    <t>A07</t>
  </si>
  <si>
    <t>Granby-Brown Cr N. Jct</t>
  </si>
  <si>
    <t>SA07</t>
  </si>
  <si>
    <t>A08</t>
  </si>
  <si>
    <t>Granby-Lynch Cr Jct</t>
  </si>
  <si>
    <t>SA08</t>
  </si>
  <si>
    <t>A09</t>
  </si>
  <si>
    <t>Granby-Wiseman Jct</t>
  </si>
  <si>
    <t>SA09</t>
  </si>
  <si>
    <t>A10</t>
  </si>
  <si>
    <t>Granby-Knappen Jct</t>
  </si>
  <si>
    <t>SA10</t>
  </si>
  <si>
    <t>A11</t>
  </si>
  <si>
    <t>Granby-Burrell Jct</t>
  </si>
  <si>
    <t>N-Granby</t>
  </si>
  <si>
    <t>SW01</t>
  </si>
  <si>
    <t>W01</t>
  </si>
  <si>
    <t>Granby-Burns Cr Jct</t>
  </si>
  <si>
    <t>SW02</t>
  </si>
  <si>
    <t>W02</t>
  </si>
  <si>
    <t>Granby-Gable Cr Jct</t>
  </si>
  <si>
    <t>SY01</t>
  </si>
  <si>
    <t>Y01</t>
  </si>
  <si>
    <t>Gable 8 Mile Cr Jct</t>
  </si>
  <si>
    <t>SY02</t>
  </si>
  <si>
    <t>Y02</t>
  </si>
  <si>
    <t>Gable Cr-Uno Cr Jct</t>
  </si>
  <si>
    <t>SW03</t>
  </si>
  <si>
    <t>W03</t>
  </si>
  <si>
    <t>Granby-Burns Lk Jct</t>
  </si>
  <si>
    <t>SW04</t>
  </si>
  <si>
    <t>W04</t>
  </si>
  <si>
    <t>Granby-Traverse Cr Jct</t>
  </si>
  <si>
    <t>SW05</t>
  </si>
  <si>
    <t>W05</t>
  </si>
  <si>
    <t>Traverse-Boulder Cr Jct</t>
  </si>
  <si>
    <t>SX01</t>
  </si>
  <si>
    <t>X01</t>
  </si>
  <si>
    <t>Boulder-8 Mile Link Jct</t>
  </si>
  <si>
    <t>SW06</t>
  </si>
  <si>
    <t>W06</t>
  </si>
  <si>
    <t>Traverse-Traverse 200 Jct</t>
  </si>
  <si>
    <t>Burrell</t>
  </si>
  <si>
    <t>SN01</t>
  </si>
  <si>
    <t>N01</t>
  </si>
  <si>
    <t>Burrell-Deadeye Jct</t>
  </si>
  <si>
    <t>SV01</t>
  </si>
  <si>
    <t>V01</t>
  </si>
  <si>
    <t>Deadeye-Deadeye 400 Jct</t>
  </si>
  <si>
    <t>SV02</t>
  </si>
  <si>
    <t>V02</t>
  </si>
  <si>
    <t>Deadeye-Park Main Jct</t>
  </si>
  <si>
    <t>SV03</t>
  </si>
  <si>
    <t>V03</t>
  </si>
  <si>
    <t>Deadeye-Deadeye 2000 Jct</t>
  </si>
  <si>
    <t>SN02</t>
  </si>
  <si>
    <t>N02</t>
  </si>
  <si>
    <t>Burrell-Nicoll Cr Jct</t>
  </si>
  <si>
    <t>SN03</t>
  </si>
  <si>
    <t>N03</t>
  </si>
  <si>
    <t>Burrell-Dinsmore By Pass</t>
  </si>
  <si>
    <t>SN04</t>
  </si>
  <si>
    <t>N04</t>
  </si>
  <si>
    <t>Burrell 25K</t>
  </si>
  <si>
    <t>SN05</t>
  </si>
  <si>
    <t>N05</t>
  </si>
  <si>
    <t>Burrell - T-Bone Jct</t>
  </si>
  <si>
    <t>SN06</t>
  </si>
  <si>
    <t>N06</t>
  </si>
  <si>
    <t>Burrell - Tenderloin</t>
  </si>
  <si>
    <t>SN07</t>
  </si>
  <si>
    <t>N07</t>
  </si>
  <si>
    <t>Burrell-McFarlane Cr S Jct</t>
  </si>
  <si>
    <t>SN08</t>
  </si>
  <si>
    <t>N08</t>
  </si>
  <si>
    <t>Burrell-Jump Cr Jct</t>
  </si>
  <si>
    <t>SN09</t>
  </si>
  <si>
    <t>N09</t>
  </si>
  <si>
    <t>SU01</t>
  </si>
  <si>
    <t>U01</t>
  </si>
  <si>
    <t>POC Edgewood 700</t>
  </si>
  <si>
    <t>SN10</t>
  </si>
  <si>
    <t>N10</t>
  </si>
  <si>
    <t>Burrell-McFarlane Cr N Jct</t>
  </si>
  <si>
    <t>GF-W</t>
  </si>
  <si>
    <t>SF01</t>
  </si>
  <si>
    <t>F01</t>
  </si>
  <si>
    <t>Hwy 3 - City of Paris Jct</t>
  </si>
  <si>
    <t>SF02</t>
  </si>
  <si>
    <t>F02</t>
  </si>
  <si>
    <t>Hwy 3 - Skeff Cr Jct</t>
  </si>
  <si>
    <t>SF03</t>
  </si>
  <si>
    <t>F03</t>
  </si>
  <si>
    <t>Hwy 3 - Phoenix-Ski Hill Jct</t>
  </si>
  <si>
    <t>SF04</t>
  </si>
  <si>
    <t>F04</t>
  </si>
  <si>
    <t>Hwy 3 - Fisherman Jct</t>
  </si>
  <si>
    <t>SF05</t>
  </si>
  <si>
    <t>F05</t>
  </si>
  <si>
    <t>Hwy 3 - Eholt Jct</t>
  </si>
  <si>
    <t>Cumul -ative from Mill</t>
  </si>
  <si>
    <t>MW-E</t>
  </si>
  <si>
    <t>G00</t>
  </si>
  <si>
    <t>G01</t>
  </si>
  <si>
    <t>Midway Mill</t>
  </si>
  <si>
    <t>Hwy 3 - Midway Mill Jct</t>
  </si>
  <si>
    <t>SG01</t>
  </si>
  <si>
    <t>G02</t>
  </si>
  <si>
    <t>Hwy 3 - Midway Jct</t>
  </si>
  <si>
    <t>SL01</t>
  </si>
  <si>
    <t>L01</t>
  </si>
  <si>
    <t>Myers Cr 9 K</t>
  </si>
  <si>
    <t>SG02</t>
  </si>
  <si>
    <t>G03</t>
  </si>
  <si>
    <t>Hwy 3 - Norwegian Cr Jct</t>
  </si>
  <si>
    <t>SG03</t>
  </si>
  <si>
    <t>G04</t>
  </si>
  <si>
    <t>Hwy 3 - Kerr Cr Jct</t>
  </si>
  <si>
    <t>SG04</t>
  </si>
  <si>
    <t>G05</t>
  </si>
  <si>
    <t>Hwy 3 - McCarren Cr Jct</t>
  </si>
  <si>
    <t>SG05</t>
  </si>
  <si>
    <t>G06</t>
  </si>
  <si>
    <t>Hwy 3 - Anaconda</t>
  </si>
  <si>
    <t>SG06</t>
  </si>
  <si>
    <t>G07</t>
  </si>
  <si>
    <t>Hwy 3 - Greenwood-Phoenix</t>
  </si>
  <si>
    <t>SG07</t>
  </si>
  <si>
    <t>G08</t>
  </si>
  <si>
    <t>Hwy 3 - Boundary Cr Jct</t>
  </si>
  <si>
    <t>SH01</t>
  </si>
  <si>
    <t>H01</t>
  </si>
  <si>
    <t>Boundary Cr - Jewel Jct</t>
  </si>
  <si>
    <t>ST01</t>
  </si>
  <si>
    <t>T01</t>
  </si>
  <si>
    <t>Jewel Lk - Rhoderick Dhu Jct</t>
  </si>
  <si>
    <t>SH02</t>
  </si>
  <si>
    <t>H02</t>
  </si>
  <si>
    <t>Boundary Cr - Wallace Cr Jct</t>
  </si>
  <si>
    <t>SH03</t>
  </si>
  <si>
    <t>H03</t>
  </si>
  <si>
    <t>Boundary Cr - East Fork Cr Jct</t>
  </si>
  <si>
    <t>SI01</t>
  </si>
  <si>
    <t>I01</t>
  </si>
  <si>
    <t>East Fork-Rhoderick Dhu Jct</t>
  </si>
  <si>
    <t>SI02</t>
  </si>
  <si>
    <t>I02</t>
  </si>
  <si>
    <t>East Fork-Pepper Cr Jct</t>
  </si>
  <si>
    <t>SI03</t>
  </si>
  <si>
    <t>I03</t>
  </si>
  <si>
    <t>East Fork-Little East Fork Jct</t>
  </si>
  <si>
    <t>SI04</t>
  </si>
  <si>
    <t>I04</t>
  </si>
  <si>
    <t>East Fork-Boundary Link Jct</t>
  </si>
  <si>
    <t>SH03.1</t>
  </si>
  <si>
    <t>H03.1</t>
  </si>
  <si>
    <t>Boundary-Windfall Cr Jct</t>
  </si>
  <si>
    <t>SK01</t>
  </si>
  <si>
    <t>K01</t>
  </si>
  <si>
    <t>Windfall - Blind Valley Jct</t>
  </si>
  <si>
    <t>SH04</t>
  </si>
  <si>
    <t>H04</t>
  </si>
  <si>
    <t>Boundary Creek-Henderson Jct</t>
  </si>
  <si>
    <t>SH05</t>
  </si>
  <si>
    <t>H05</t>
  </si>
  <si>
    <t>Boundary Creek-Dry Creek Jct</t>
  </si>
  <si>
    <t>SH06</t>
  </si>
  <si>
    <t>H06</t>
  </si>
  <si>
    <t>Boundary Creek-Boundary Link Jct</t>
  </si>
  <si>
    <t>SH07</t>
  </si>
  <si>
    <t>H07</t>
  </si>
  <si>
    <t>Boundary Creek-West Fork</t>
  </si>
  <si>
    <t>SJ01</t>
  </si>
  <si>
    <t>J01</t>
  </si>
  <si>
    <t>West Fork-Terraced Peak Jct</t>
  </si>
  <si>
    <t>SJ02</t>
  </si>
  <si>
    <t>J02</t>
  </si>
  <si>
    <t>SH08</t>
  </si>
  <si>
    <t>H08</t>
  </si>
  <si>
    <t>Boundary Creek Terrace Lk.</t>
  </si>
  <si>
    <t>MW-W</t>
  </si>
  <si>
    <t>SM01</t>
  </si>
  <si>
    <t>M01</t>
  </si>
  <si>
    <t>Hwy 3 - Ingram Cr Rd</t>
  </si>
  <si>
    <t>SS01</t>
  </si>
  <si>
    <t>S01</t>
  </si>
  <si>
    <t>Ingram - E. Ingram Jct</t>
  </si>
  <si>
    <t>SS02</t>
  </si>
  <si>
    <t>S02</t>
  </si>
  <si>
    <t>Ingram - W. Ingram Jct</t>
  </si>
  <si>
    <t>SM02</t>
  </si>
  <si>
    <t>M02</t>
  </si>
  <si>
    <t>Hwy 3-Kettle Valley Rd</t>
  </si>
  <si>
    <t>SM03</t>
  </si>
  <si>
    <t>M03</t>
  </si>
  <si>
    <t>Hwy 3 - Hwy 33 Jct</t>
  </si>
  <si>
    <t>SM04</t>
  </si>
  <si>
    <t>M04</t>
  </si>
  <si>
    <t>Hwy 3 - East Johnstone Cr</t>
  </si>
  <si>
    <t>SM05</t>
  </si>
  <si>
    <t>M05</t>
  </si>
  <si>
    <t>Hwy 3 - Johnstone Cr</t>
  </si>
  <si>
    <t>SM06</t>
  </si>
  <si>
    <t>M06</t>
  </si>
  <si>
    <t>Hwy 3 - Baldy Mtn Jct</t>
  </si>
  <si>
    <t>SM07</t>
  </si>
  <si>
    <t>M07</t>
  </si>
  <si>
    <t>Hwy 3 - Sidley Jct.</t>
  </si>
  <si>
    <t>RC-CV</t>
  </si>
  <si>
    <t>SP00.1</t>
  </si>
  <si>
    <t>P00.1</t>
  </si>
  <si>
    <t>Hwy 33-S.Kettle Bridge</t>
  </si>
  <si>
    <t>SO01</t>
  </si>
  <si>
    <t>O01</t>
  </si>
  <si>
    <t>POC Nicholson Cr Rd</t>
  </si>
  <si>
    <t>SP01</t>
  </si>
  <si>
    <t>P01</t>
  </si>
  <si>
    <t>Hwy 33-Christian Valley Jct</t>
  </si>
  <si>
    <t>SP02</t>
  </si>
  <si>
    <t>P02</t>
  </si>
  <si>
    <t>Christian Valley-East Kettle Jct</t>
  </si>
  <si>
    <t>SP03</t>
  </si>
  <si>
    <t>P03</t>
  </si>
  <si>
    <t>SP04</t>
  </si>
  <si>
    <t>P04</t>
  </si>
  <si>
    <t>Christian Valley-Crouse Cr Jct</t>
  </si>
  <si>
    <t>SP05</t>
  </si>
  <si>
    <t>P05</t>
  </si>
  <si>
    <t>Christian Valley-Lost Horse Jct</t>
  </si>
  <si>
    <t>SP06</t>
  </si>
  <si>
    <t>P06</t>
  </si>
  <si>
    <t>Christian Valley-4th of July Cr Jct</t>
  </si>
  <si>
    <t>SP07</t>
  </si>
  <si>
    <t>P07</t>
  </si>
  <si>
    <t>Christian Valley-State Cr Jct</t>
  </si>
  <si>
    <t>W-Kettle</t>
  </si>
  <si>
    <t>SAE01</t>
  </si>
  <si>
    <t>AE01</t>
  </si>
  <si>
    <t>Beaverdell Cr - State Cr Jct</t>
  </si>
  <si>
    <t>SP08</t>
  </si>
  <si>
    <t>P08</t>
  </si>
  <si>
    <t>Christian Valley-Barth Cr Jct</t>
  </si>
  <si>
    <t>SP09</t>
  </si>
  <si>
    <t>P09</t>
  </si>
  <si>
    <t>Christian Valley-Grano Jct</t>
  </si>
  <si>
    <t>SZ01</t>
  </si>
  <si>
    <t>Z01</t>
  </si>
  <si>
    <t>Grano-Grand Canyon Jct</t>
  </si>
  <si>
    <t>SZ02</t>
  </si>
  <si>
    <t>Z02</t>
  </si>
  <si>
    <t>Grano-Hellroarer Jct</t>
  </si>
  <si>
    <t>SZ03</t>
  </si>
  <si>
    <t>Z03</t>
  </si>
  <si>
    <t>Grano-East Cochrane Jct</t>
  </si>
  <si>
    <t>SP10</t>
  </si>
  <si>
    <t>P10</t>
  </si>
  <si>
    <t>Christian Valley-Rendell Cr Jct</t>
  </si>
  <si>
    <t>SAA01</t>
  </si>
  <si>
    <t>AA01</t>
  </si>
  <si>
    <t>Rendell-Center Mtn Jct</t>
  </si>
  <si>
    <t>SAA02</t>
  </si>
  <si>
    <t>AA02</t>
  </si>
  <si>
    <t>Rendell-Arthurs Cr Jct</t>
  </si>
  <si>
    <t>SAA03</t>
  </si>
  <si>
    <t>AA03</t>
  </si>
  <si>
    <t>Rendell-Goatskin Jct</t>
  </si>
  <si>
    <t>SAA04</t>
  </si>
  <si>
    <t>AA04</t>
  </si>
  <si>
    <t>Goatskin-S.Goatskin Jct</t>
  </si>
  <si>
    <t>SP11</t>
  </si>
  <si>
    <t>P11</t>
  </si>
  <si>
    <t>Christian Valley-Nevertouch Jct</t>
  </si>
  <si>
    <t>SQ01</t>
  </si>
  <si>
    <t>Q01</t>
  </si>
  <si>
    <t>Hwy 33 -    Harrison Jct.</t>
  </si>
  <si>
    <t>SQ02</t>
  </si>
  <si>
    <t>Q02</t>
  </si>
  <si>
    <t>Hwy 33-Rhone Jct</t>
  </si>
  <si>
    <t>SR01</t>
  </si>
  <si>
    <t>R01</t>
  </si>
  <si>
    <t>Rhone-Ripperto Jct</t>
  </si>
  <si>
    <t>SRO2</t>
  </si>
  <si>
    <t>R02</t>
  </si>
  <si>
    <t>Conkle-Ripperto FSR</t>
  </si>
  <si>
    <t>SQ03</t>
  </si>
  <si>
    <t>Q03</t>
  </si>
  <si>
    <t>Rhone-Richeleau Cr Jct</t>
  </si>
  <si>
    <t>SQ04</t>
  </si>
  <si>
    <t>Q04</t>
  </si>
  <si>
    <t>Hwy 33-Taurus Cr Jct</t>
  </si>
  <si>
    <t>SQ05</t>
  </si>
  <si>
    <t>Q05</t>
  </si>
  <si>
    <t>Hwy 33-Boyer Cr Jct</t>
  </si>
  <si>
    <t>SQ06</t>
  </si>
  <si>
    <t>Q06</t>
  </si>
  <si>
    <t>Hwy 33-Eugene Cr Jct</t>
  </si>
  <si>
    <t>SAF01</t>
  </si>
  <si>
    <t>AF01</t>
  </si>
  <si>
    <t>Eugene Cr-Eugene Carmi Link Jct</t>
  </si>
  <si>
    <t>SQ07</t>
  </si>
  <si>
    <t>Q07</t>
  </si>
  <si>
    <t>Hwy 33 -Beavercreek Jct</t>
  </si>
  <si>
    <t>SAD01</t>
  </si>
  <si>
    <t>AD01</t>
  </si>
  <si>
    <t>Beaver Creek- ? Jct</t>
  </si>
  <si>
    <t>SAD02</t>
  </si>
  <si>
    <t>AD02</t>
  </si>
  <si>
    <t>Beaver Creek-Crouse Cr Jct</t>
  </si>
  <si>
    <t>SAD03</t>
  </si>
  <si>
    <t>AD03</t>
  </si>
  <si>
    <t>Beaverdell Cr Summit</t>
  </si>
  <si>
    <t>SQ08</t>
  </si>
  <si>
    <t>Q08</t>
  </si>
  <si>
    <t>Hwy 33-Smoker Rd Jct</t>
  </si>
  <si>
    <t>SAB01</t>
  </si>
  <si>
    <t>AB01</t>
  </si>
  <si>
    <t>China Cr 0K</t>
  </si>
  <si>
    <t>SQ09</t>
  </si>
  <si>
    <t>Q09</t>
  </si>
  <si>
    <t>Hwy 33-Carmi Jct</t>
  </si>
  <si>
    <t>SQ10</t>
  </si>
  <si>
    <t>Q10</t>
  </si>
  <si>
    <t>Hwy 33-Wilkinson Cr jct</t>
  </si>
  <si>
    <t>SAG01</t>
  </si>
  <si>
    <t>AG01</t>
  </si>
  <si>
    <t>Wilkinson-Ferroux Cr Jct</t>
  </si>
  <si>
    <t>SQ11</t>
  </si>
  <si>
    <t>Q11</t>
  </si>
  <si>
    <t>Hwy 33-Rest Area Jcn</t>
  </si>
  <si>
    <t>SQ12</t>
  </si>
  <si>
    <t>Q12</t>
  </si>
  <si>
    <t>Hwy 33-Trapping Cr Jct</t>
  </si>
  <si>
    <t>SAC01</t>
  </si>
  <si>
    <t>AC01</t>
  </si>
  <si>
    <t>Trapping-East Trapping Cr jct</t>
  </si>
  <si>
    <t>SAC02</t>
  </si>
  <si>
    <t>AC02</t>
  </si>
  <si>
    <t>Trapping-Ptarmigan Jct</t>
  </si>
  <si>
    <t>SAC03</t>
  </si>
  <si>
    <t>AC03</t>
  </si>
  <si>
    <t>Copperkettle-Lassie Lk Jct</t>
  </si>
  <si>
    <t>SAC04</t>
  </si>
  <si>
    <t>AC04</t>
  </si>
  <si>
    <t>Copperkettle-Wolfe Jct</t>
  </si>
  <si>
    <t>SAC05</t>
  </si>
  <si>
    <t>AC05</t>
  </si>
  <si>
    <t>Whitefoot 26K</t>
  </si>
  <si>
    <t>Whitefoot 29K</t>
  </si>
  <si>
    <t>Blind Valley - Williamson TFL Bdy</t>
  </si>
  <si>
    <t>Goatskin - 800 Jct</t>
  </si>
  <si>
    <t>Young Lake 3500 Jct</t>
  </si>
  <si>
    <t>Young Lake Jct</t>
  </si>
  <si>
    <t>Thomas Jct</t>
  </si>
  <si>
    <t>Thomas 1000 Jct</t>
  </si>
  <si>
    <t>Cumul - ative from Mill</t>
  </si>
  <si>
    <t>Jct</t>
  </si>
  <si>
    <t>Ouelette - Boomerang Jct</t>
  </si>
  <si>
    <t>West Fork - West Fork 15700 Jct</t>
  </si>
  <si>
    <t>West Fork 8.5 km -David Crk Jct</t>
  </si>
  <si>
    <t>West Fork - West Fork 23000 Jct</t>
  </si>
  <si>
    <t>Burrell-Young FSR  Jct</t>
  </si>
  <si>
    <t>Christian Valley-Oulette Cr Jct</t>
  </si>
  <si>
    <t>Q13</t>
  </si>
  <si>
    <t>Q14</t>
  </si>
  <si>
    <t>Hwy 33-Arlington Lake Jct</t>
  </si>
  <si>
    <t>Hwy 33-McDonald Lake Jct</t>
  </si>
  <si>
    <t>China Creek</t>
  </si>
  <si>
    <t>AH01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</si>
</sst>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Times New Roman"/>
    </font>
    <font>
      <sz val="8"/>
      <name val="Times New Roman"/>
      <family val="1"/>
    </font>
    <font>
      <sz val="8"/>
      <color indexed="8"/>
      <name val="Times New Roman"/>
      <family val="1"/>
    </font>
    <font>
      <b/>
      <sz val="10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8"/>
      <color indexed="81"/>
      <name val="Tahoma"/>
    </font>
    <font>
      <b/>
      <sz val="8"/>
      <color indexed="81"/>
      <name val="Tahoma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8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 applyAlignment="1">
      <alignment horizontal="left"/>
    </xf>
    <xf numFmtId="0" fontId="1" fillId="0" borderId="0" xfId="0" applyFont="1"/>
    <xf numFmtId="0" fontId="2" fillId="2" borderId="0" xfId="0" applyFont="1" applyFill="1" applyAlignment="1">
      <alignment horizontal="left"/>
    </xf>
    <xf numFmtId="2" fontId="3" fillId="0" borderId="0" xfId="0" quotePrefix="1" applyNumberFormat="1" applyFont="1" applyFill="1" applyAlignment="1">
      <alignment horizontal="center" wrapText="1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2" fontId="1" fillId="0" borderId="0" xfId="0" applyNumberFormat="1" applyFont="1"/>
    <xf numFmtId="164" fontId="1" fillId="0" borderId="0" xfId="0" applyNumberFormat="1" applyFont="1"/>
    <xf numFmtId="0" fontId="3" fillId="0" borderId="0" xfId="0" quotePrefix="1" applyFont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1" fontId="1" fillId="0" borderId="0" xfId="0" applyNumberFormat="1" applyFont="1"/>
    <xf numFmtId="2" fontId="1" fillId="3" borderId="0" xfId="0" applyNumberFormat="1" applyFont="1" applyFill="1"/>
    <xf numFmtId="0" fontId="1" fillId="3" borderId="0" xfId="0" applyFont="1" applyFill="1"/>
    <xf numFmtId="1" fontId="1" fillId="3" borderId="0" xfId="0" applyNumberFormat="1" applyFont="1" applyFill="1"/>
    <xf numFmtId="164" fontId="1" fillId="3" borderId="0" xfId="0" applyNumberFormat="1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2" fontId="1" fillId="0" borderId="0" xfId="0" applyNumberFormat="1" applyFont="1" applyFill="1"/>
    <xf numFmtId="1" fontId="1" fillId="0" borderId="0" xfId="0" applyNumberFormat="1" applyFont="1" applyFill="1"/>
    <xf numFmtId="164" fontId="1" fillId="0" borderId="0" xfId="0" applyNumberFormat="1" applyFont="1" applyFill="1"/>
    <xf numFmtId="0" fontId="2" fillId="3" borderId="0" xfId="0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4" borderId="0" xfId="0" quotePrefix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left"/>
    </xf>
    <xf numFmtId="2" fontId="1" fillId="5" borderId="0" xfId="0" applyNumberFormat="1" applyFont="1" applyFill="1"/>
    <xf numFmtId="0" fontId="1" fillId="5" borderId="0" xfId="0" applyFont="1" applyFill="1"/>
    <xf numFmtId="1" fontId="1" fillId="5" borderId="0" xfId="0" applyNumberFormat="1" applyFont="1" applyFill="1"/>
    <xf numFmtId="164" fontId="1" fillId="5" borderId="0" xfId="0" applyNumberFormat="1" applyFont="1" applyFill="1"/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left"/>
    </xf>
    <xf numFmtId="2" fontId="0" fillId="0" borderId="0" xfId="0" applyNumberFormat="1"/>
    <xf numFmtId="164" fontId="0" fillId="0" borderId="0" xfId="0" applyNumberFormat="1"/>
    <xf numFmtId="0" fontId="4" fillId="0" borderId="0" xfId="0" applyFont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2" fontId="4" fillId="0" borderId="0" xfId="0" applyNumberFormat="1" applyFont="1" applyFill="1" applyAlignment="1">
      <alignment horizontal="center" wrapText="1"/>
    </xf>
    <xf numFmtId="164" fontId="5" fillId="0" borderId="0" xfId="0" applyNumberFormat="1" applyFont="1"/>
    <xf numFmtId="164" fontId="6" fillId="0" borderId="0" xfId="0" applyNumberFormat="1" applyFont="1" applyFill="1" applyAlignment="1">
      <alignment horizontal="center"/>
    </xf>
    <xf numFmtId="0" fontId="5" fillId="0" borderId="0" xfId="0" applyFont="1"/>
    <xf numFmtId="164" fontId="6" fillId="4" borderId="0" xfId="0" applyNumberFormat="1" applyFont="1" applyFill="1" applyAlignment="1">
      <alignment horizontal="center"/>
    </xf>
    <xf numFmtId="164" fontId="5" fillId="3" borderId="0" xfId="0" applyNumberFormat="1" applyFont="1" applyFill="1"/>
    <xf numFmtId="164" fontId="6" fillId="3" borderId="0" xfId="0" applyNumberFormat="1" applyFont="1" applyFill="1" applyAlignment="1">
      <alignment horizontal="center"/>
    </xf>
    <xf numFmtId="0" fontId="5" fillId="3" borderId="0" xfId="0" applyFont="1" applyFill="1"/>
    <xf numFmtId="164" fontId="6" fillId="2" borderId="0" xfId="0" applyNumberFormat="1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0" xfId="0" quotePrefix="1" applyFont="1" applyAlignment="1">
      <alignment horizontal="center" wrapText="1"/>
    </xf>
    <xf numFmtId="164" fontId="5" fillId="3" borderId="0" xfId="0" applyNumberFormat="1" applyFont="1" applyFill="1" applyAlignment="1">
      <alignment horizontal="center"/>
    </xf>
    <xf numFmtId="164" fontId="5" fillId="5" borderId="0" xfId="0" applyNumberFormat="1" applyFont="1" applyFill="1" applyAlignment="1">
      <alignment horizontal="center"/>
    </xf>
    <xf numFmtId="164" fontId="6" fillId="5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2" fontId="6" fillId="0" borderId="0" xfId="0" applyNumberFormat="1" applyFont="1" applyFill="1" applyAlignment="1">
      <alignment horizontal="left"/>
    </xf>
    <xf numFmtId="2" fontId="6" fillId="2" borderId="0" xfId="0" applyNumberFormat="1" applyFont="1" applyFill="1" applyAlignment="1">
      <alignment horizontal="left"/>
    </xf>
    <xf numFmtId="2" fontId="6" fillId="4" borderId="0" xfId="0" applyNumberFormat="1" applyFont="1" applyFill="1" applyAlignment="1">
      <alignment horizontal="left"/>
    </xf>
    <xf numFmtId="2" fontId="6" fillId="3" borderId="0" xfId="0" applyNumberFormat="1" applyFont="1" applyFill="1" applyAlignment="1">
      <alignment horizontal="left"/>
    </xf>
    <xf numFmtId="2" fontId="5" fillId="0" borderId="0" xfId="0" applyNumberFormat="1" applyFont="1" applyAlignment="1">
      <alignment horizontal="left"/>
    </xf>
    <xf numFmtId="164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1" fontId="2" fillId="4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2" fillId="2" borderId="0" xfId="0" quotePrefix="1" applyFont="1" applyFill="1" applyAlignment="1">
      <alignment horizontal="left"/>
    </xf>
    <xf numFmtId="2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left"/>
    </xf>
    <xf numFmtId="1" fontId="2" fillId="0" borderId="0" xfId="0" quotePrefix="1" applyNumberFormat="1" applyFont="1" applyFill="1" applyAlignment="1">
      <alignment horizontal="center"/>
    </xf>
    <xf numFmtId="2" fontId="2" fillId="6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2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left"/>
    </xf>
    <xf numFmtId="2" fontId="1" fillId="7" borderId="0" xfId="0" applyNumberFormat="1" applyFont="1" applyFill="1"/>
    <xf numFmtId="0" fontId="1" fillId="7" borderId="0" xfId="0" applyFont="1" applyFill="1"/>
    <xf numFmtId="1" fontId="2" fillId="7" borderId="0" xfId="0" applyNumberFormat="1" applyFont="1" applyFill="1" applyAlignment="1">
      <alignment horizontal="center"/>
    </xf>
    <xf numFmtId="1" fontId="1" fillId="7" borderId="0" xfId="0" applyNumberFormat="1" applyFont="1" applyFill="1"/>
    <xf numFmtId="164" fontId="1" fillId="7" borderId="0" xfId="0" applyNumberFormat="1" applyFont="1" applyFill="1"/>
    <xf numFmtId="0" fontId="1" fillId="7" borderId="0" xfId="0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34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B16" sqref="AB16"/>
    </sheetView>
  </sheetViews>
  <sheetFormatPr defaultRowHeight="11.25" x14ac:dyDescent="0.2"/>
  <cols>
    <col min="1" max="1" width="7.42578125" style="8" customWidth="1"/>
    <col min="2" max="2" width="6.85546875" style="8" customWidth="1"/>
    <col min="3" max="4" width="5.140625" style="8" customWidth="1"/>
    <col min="5" max="5" width="8.7109375" style="5" customWidth="1"/>
    <col min="6" max="6" width="9.7109375" style="5" customWidth="1"/>
    <col min="7" max="8" width="22.85546875" style="2" customWidth="1"/>
    <col min="9" max="9" width="6.5703125" style="2" customWidth="1"/>
    <col min="10" max="22" width="5.28515625" style="2" customWidth="1"/>
    <col min="23" max="23" width="5" style="2" customWidth="1"/>
    <col min="24" max="24" width="5.7109375" style="2" customWidth="1"/>
    <col min="25" max="25" width="5.5703125" style="21" customWidth="1"/>
    <col min="26" max="27" width="5.5703125" style="2" customWidth="1"/>
    <col min="28" max="28" width="6.42578125" style="2" customWidth="1"/>
    <col min="29" max="30" width="6.5703125" style="2" customWidth="1"/>
    <col min="31" max="31" width="6.7109375" style="2" customWidth="1"/>
    <col min="32" max="32" width="4" style="27" customWidth="1"/>
    <col min="33" max="16384" width="9.140625" style="27"/>
  </cols>
  <sheetData>
    <row r="1" spans="1:31" s="15" customFormat="1" ht="39.950000000000003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4" t="s">
        <v>4</v>
      </c>
      <c r="F1" s="4" t="s">
        <v>438</v>
      </c>
      <c r="G1" s="15" t="s">
        <v>2</v>
      </c>
      <c r="H1" s="15" t="s">
        <v>3</v>
      </c>
      <c r="I1" s="19" t="s">
        <v>5</v>
      </c>
      <c r="J1" s="16">
        <v>100</v>
      </c>
      <c r="K1" s="16">
        <v>90</v>
      </c>
      <c r="L1" s="16">
        <v>80</v>
      </c>
      <c r="M1" s="16">
        <v>70</v>
      </c>
      <c r="N1" s="16">
        <v>60</v>
      </c>
      <c r="O1" s="16">
        <v>50</v>
      </c>
      <c r="P1" s="16">
        <v>40</v>
      </c>
      <c r="Q1" s="16">
        <v>30</v>
      </c>
      <c r="R1" s="16">
        <v>25</v>
      </c>
      <c r="S1" s="16">
        <v>22.5</v>
      </c>
      <c r="T1" s="16">
        <v>20</v>
      </c>
      <c r="U1" s="16">
        <v>17.5</v>
      </c>
      <c r="V1" s="16">
        <v>15</v>
      </c>
      <c r="W1" s="16" t="s">
        <v>6</v>
      </c>
      <c r="X1" s="16" t="s">
        <v>7</v>
      </c>
      <c r="Y1" s="20" t="s">
        <v>8</v>
      </c>
      <c r="Z1" s="16" t="s">
        <v>9</v>
      </c>
      <c r="AA1" s="16" t="s">
        <v>10</v>
      </c>
      <c r="AB1" s="16" t="s">
        <v>11</v>
      </c>
      <c r="AC1" s="16" t="s">
        <v>12</v>
      </c>
      <c r="AD1" s="16" t="s">
        <v>13</v>
      </c>
      <c r="AE1" s="16" t="s">
        <v>14</v>
      </c>
    </row>
    <row r="2" spans="1:31" ht="11.25" customHeight="1" x14ac:dyDescent="0.2">
      <c r="A2" s="9" t="s">
        <v>15</v>
      </c>
      <c r="B2" s="10" t="s">
        <v>16</v>
      </c>
      <c r="C2" s="10" t="s">
        <v>17</v>
      </c>
      <c r="D2" s="10" t="s">
        <v>18</v>
      </c>
      <c r="E2" s="6">
        <v>0.83</v>
      </c>
      <c r="F2" s="6">
        <f>E2</f>
        <v>0.83</v>
      </c>
      <c r="G2" s="1" t="s">
        <v>19</v>
      </c>
      <c r="H2" s="1" t="s">
        <v>20</v>
      </c>
      <c r="I2" s="17">
        <f t="shared" ref="I2:I12" si="0">E2</f>
        <v>0.83</v>
      </c>
      <c r="J2" s="17">
        <f t="shared" ref="J2:J25" si="1">I2-SUM(K2:V2)</f>
        <v>0</v>
      </c>
      <c r="O2" s="2">
        <v>0.55000000000000004</v>
      </c>
      <c r="T2" s="2">
        <v>0.28000000000000003</v>
      </c>
      <c r="W2" s="17">
        <f t="shared" ref="W2:W12" si="2">(J2/J$1+K2/K$1+L2/L$1+M2/M$1+N2/N$1+O2/O$1+P2/P$1+Q2/Q$1+R2/R$1+S2/S$1+T2/T$1+U2/U$1+V2/V$1)*60</f>
        <v>1.5</v>
      </c>
      <c r="X2" s="6">
        <f>W2</f>
        <v>1.5</v>
      </c>
      <c r="Y2" s="72"/>
      <c r="Z2" s="21">
        <f t="shared" ref="Z2:Z12" si="3">I2/W2*60</f>
        <v>33.200000000000003</v>
      </c>
      <c r="AA2" s="21">
        <f t="shared" ref="AA2:AA12" si="4">F2/X2*60</f>
        <v>33.200000000000003</v>
      </c>
      <c r="AB2" s="18">
        <f t="shared" ref="AB2:AB12" si="5">AA2*0.85</f>
        <v>28.220000000000002</v>
      </c>
      <c r="AC2" s="18">
        <f t="shared" ref="AC2:AC12" si="6">AA2*0.95</f>
        <v>31.540000000000003</v>
      </c>
      <c r="AD2" s="18">
        <f t="shared" ref="AD2:AD12" si="7">$F2/AB2*60</f>
        <v>1.7647058823529409</v>
      </c>
      <c r="AE2" s="18">
        <f t="shared" ref="AE2:AE12" si="8">$F2/AC2*60</f>
        <v>1.5789473684210524</v>
      </c>
    </row>
    <row r="3" spans="1:31" x14ac:dyDescent="0.2">
      <c r="A3" s="10" t="s">
        <v>15</v>
      </c>
      <c r="B3" s="10" t="s">
        <v>21</v>
      </c>
      <c r="C3" s="10" t="s">
        <v>18</v>
      </c>
      <c r="D3" s="10" t="s">
        <v>22</v>
      </c>
      <c r="E3" s="6">
        <v>6.8</v>
      </c>
      <c r="F3" s="6">
        <f>F2+E3</f>
        <v>7.63</v>
      </c>
      <c r="G3" s="1" t="s">
        <v>20</v>
      </c>
      <c r="H3" s="1" t="s">
        <v>23</v>
      </c>
      <c r="I3" s="17">
        <f t="shared" si="0"/>
        <v>6.8</v>
      </c>
      <c r="J3" s="17">
        <f t="shared" si="1"/>
        <v>4.7</v>
      </c>
      <c r="L3" s="2">
        <v>0.7</v>
      </c>
      <c r="M3" s="2">
        <f>0.9+0.5</f>
        <v>1.4</v>
      </c>
      <c r="W3" s="17">
        <f t="shared" si="2"/>
        <v>4.5449999999999999</v>
      </c>
      <c r="X3" s="6">
        <f>X2+W3+0.5</f>
        <v>6.5449999999999999</v>
      </c>
      <c r="Y3" s="72"/>
      <c r="Z3" s="21">
        <f t="shared" si="3"/>
        <v>89.768976897689768</v>
      </c>
      <c r="AA3" s="21">
        <f t="shared" si="4"/>
        <v>69.946524064171129</v>
      </c>
      <c r="AB3" s="18">
        <f t="shared" si="5"/>
        <v>59.45454545454546</v>
      </c>
      <c r="AC3" s="18">
        <f t="shared" si="6"/>
        <v>66.44919786096257</v>
      </c>
      <c r="AD3" s="17">
        <f t="shared" si="7"/>
        <v>7.6999999999999993</v>
      </c>
      <c r="AE3" s="17">
        <f t="shared" si="8"/>
        <v>6.8894736842105253</v>
      </c>
    </row>
    <row r="4" spans="1:31" x14ac:dyDescent="0.2">
      <c r="A4" s="11" t="s">
        <v>15</v>
      </c>
      <c r="B4" s="11" t="s">
        <v>24</v>
      </c>
      <c r="C4" s="11" t="s">
        <v>22</v>
      </c>
      <c r="D4" s="11" t="s">
        <v>25</v>
      </c>
      <c r="E4" s="7">
        <v>6.97</v>
      </c>
      <c r="F4" s="7">
        <f>F3+E4</f>
        <v>14.6</v>
      </c>
      <c r="G4" s="3" t="s">
        <v>23</v>
      </c>
      <c r="H4" s="3" t="s">
        <v>26</v>
      </c>
      <c r="I4" s="22">
        <f t="shared" si="0"/>
        <v>6.97</v>
      </c>
      <c r="J4" s="22">
        <f t="shared" si="1"/>
        <v>1.9999999999999574E-2</v>
      </c>
      <c r="K4" s="23"/>
      <c r="L4" s="23"/>
      <c r="M4" s="23"/>
      <c r="N4" s="23"/>
      <c r="O4" s="23"/>
      <c r="P4" s="23"/>
      <c r="Q4" s="23"/>
      <c r="R4" s="23">
        <v>3</v>
      </c>
      <c r="S4" s="23">
        <v>2</v>
      </c>
      <c r="T4" s="23"/>
      <c r="U4" s="23">
        <v>1.95</v>
      </c>
      <c r="V4" s="23"/>
      <c r="W4" s="22">
        <f t="shared" si="2"/>
        <v>19.231047619047619</v>
      </c>
      <c r="X4" s="7">
        <f>X3+W4</f>
        <v>25.776047619047617</v>
      </c>
      <c r="Y4" s="73"/>
      <c r="Z4" s="24">
        <f t="shared" si="3"/>
        <v>21.74608519952854</v>
      </c>
      <c r="AA4" s="24">
        <f t="shared" si="4"/>
        <v>33.985039636281009</v>
      </c>
      <c r="AB4" s="25">
        <f t="shared" si="5"/>
        <v>28.887283690838856</v>
      </c>
      <c r="AC4" s="25">
        <f t="shared" si="6"/>
        <v>32.285787654466958</v>
      </c>
      <c r="AD4" s="25">
        <f t="shared" si="7"/>
        <v>30.324761904761907</v>
      </c>
      <c r="AE4" s="25">
        <f t="shared" si="8"/>
        <v>27.132681704260651</v>
      </c>
    </row>
    <row r="5" spans="1:31" x14ac:dyDescent="0.2">
      <c r="A5" s="10" t="s">
        <v>15</v>
      </c>
      <c r="B5" s="10" t="s">
        <v>27</v>
      </c>
      <c r="C5" s="10" t="s">
        <v>22</v>
      </c>
      <c r="D5" s="10" t="s">
        <v>28</v>
      </c>
      <c r="E5" s="6">
        <v>9.4600000000000009</v>
      </c>
      <c r="F5" s="6">
        <f>F3+E5</f>
        <v>17.09</v>
      </c>
      <c r="G5" s="1" t="s">
        <v>23</v>
      </c>
      <c r="H5" s="1" t="s">
        <v>29</v>
      </c>
      <c r="I5" s="17">
        <f t="shared" si="0"/>
        <v>9.4600000000000009</v>
      </c>
      <c r="J5" s="17">
        <f t="shared" si="1"/>
        <v>8.8600000000000012</v>
      </c>
      <c r="L5" s="2">
        <f>0.3+0.3</f>
        <v>0.6</v>
      </c>
      <c r="W5" s="17">
        <f t="shared" si="2"/>
        <v>5.7660000000000009</v>
      </c>
      <c r="X5" s="6">
        <f>X3+W5</f>
        <v>12.311</v>
      </c>
      <c r="Y5" s="72"/>
      <c r="Z5" s="21">
        <f t="shared" si="3"/>
        <v>98.439125910509887</v>
      </c>
      <c r="AA5" s="21">
        <f t="shared" si="4"/>
        <v>83.291365445536513</v>
      </c>
      <c r="AB5" s="18">
        <f t="shared" si="5"/>
        <v>70.797660628706041</v>
      </c>
      <c r="AC5" s="18">
        <f t="shared" si="6"/>
        <v>79.126797173259689</v>
      </c>
      <c r="AD5" s="18">
        <f t="shared" si="7"/>
        <v>14.483529411764703</v>
      </c>
      <c r="AE5" s="18">
        <f t="shared" si="8"/>
        <v>12.958947368421052</v>
      </c>
    </row>
    <row r="6" spans="1:31" x14ac:dyDescent="0.2">
      <c r="A6" s="11" t="s">
        <v>15</v>
      </c>
      <c r="B6" s="11" t="s">
        <v>30</v>
      </c>
      <c r="C6" s="11" t="s">
        <v>28</v>
      </c>
      <c r="D6" s="11" t="s">
        <v>31</v>
      </c>
      <c r="E6" s="7">
        <v>5.55</v>
      </c>
      <c r="F6" s="7">
        <f>F5+E6</f>
        <v>22.64</v>
      </c>
      <c r="G6" s="3" t="s">
        <v>29</v>
      </c>
      <c r="H6" s="3" t="s">
        <v>32</v>
      </c>
      <c r="I6" s="22">
        <f t="shared" si="0"/>
        <v>5.55</v>
      </c>
      <c r="J6" s="22">
        <f t="shared" si="1"/>
        <v>0</v>
      </c>
      <c r="K6" s="23"/>
      <c r="L6" s="23"/>
      <c r="M6" s="23"/>
      <c r="N6" s="23"/>
      <c r="O6" s="23"/>
      <c r="P6" s="23">
        <v>5.55</v>
      </c>
      <c r="Q6" s="23"/>
      <c r="R6" s="23"/>
      <c r="S6" s="23"/>
      <c r="T6" s="23"/>
      <c r="U6" s="23"/>
      <c r="V6" s="23"/>
      <c r="W6" s="22">
        <f t="shared" si="2"/>
        <v>8.3249999999999993</v>
      </c>
      <c r="X6" s="7">
        <f>X5+W6</f>
        <v>20.635999999999999</v>
      </c>
      <c r="Y6" s="73"/>
      <c r="Z6" s="24">
        <f t="shared" si="3"/>
        <v>40.000000000000007</v>
      </c>
      <c r="AA6" s="24">
        <f t="shared" si="4"/>
        <v>65.826710602830019</v>
      </c>
      <c r="AB6" s="25">
        <f t="shared" si="5"/>
        <v>55.952704012405512</v>
      </c>
      <c r="AC6" s="25">
        <f t="shared" si="6"/>
        <v>62.535375072688517</v>
      </c>
      <c r="AD6" s="25">
        <f t="shared" si="7"/>
        <v>24.277647058823526</v>
      </c>
      <c r="AE6" s="25">
        <f t="shared" si="8"/>
        <v>21.722105263157893</v>
      </c>
    </row>
    <row r="7" spans="1:31" x14ac:dyDescent="0.2">
      <c r="A7" s="11" t="s">
        <v>15</v>
      </c>
      <c r="B7" s="11" t="s">
        <v>33</v>
      </c>
      <c r="C7" s="11" t="s">
        <v>31</v>
      </c>
      <c r="D7" s="11" t="s">
        <v>34</v>
      </c>
      <c r="E7" s="7">
        <v>8.4700000000000006</v>
      </c>
      <c r="F7" s="7">
        <f>F6+E7</f>
        <v>31.11</v>
      </c>
      <c r="G7" s="3" t="s">
        <v>32</v>
      </c>
      <c r="H7" s="3" t="s">
        <v>35</v>
      </c>
      <c r="I7" s="22">
        <f t="shared" si="0"/>
        <v>8.4700000000000006</v>
      </c>
      <c r="J7" s="22">
        <f t="shared" si="1"/>
        <v>0</v>
      </c>
      <c r="K7" s="23"/>
      <c r="L7" s="23"/>
      <c r="M7" s="23"/>
      <c r="N7" s="23"/>
      <c r="O7" s="23"/>
      <c r="P7" s="23">
        <v>4.2300000000000004</v>
      </c>
      <c r="Q7" s="23">
        <v>4.24</v>
      </c>
      <c r="R7" s="23"/>
      <c r="S7" s="23"/>
      <c r="T7" s="23"/>
      <c r="U7" s="23"/>
      <c r="V7" s="23"/>
      <c r="W7" s="22">
        <f t="shared" si="2"/>
        <v>14.825000000000001</v>
      </c>
      <c r="X7" s="7">
        <f>X6+W7</f>
        <v>35.460999999999999</v>
      </c>
      <c r="Y7" s="73"/>
      <c r="Z7" s="24">
        <f t="shared" si="3"/>
        <v>34.279932546374368</v>
      </c>
      <c r="AA7" s="24">
        <f t="shared" si="4"/>
        <v>52.638109472378105</v>
      </c>
      <c r="AB7" s="25">
        <f t="shared" si="5"/>
        <v>44.74239305152139</v>
      </c>
      <c r="AC7" s="25">
        <f t="shared" si="6"/>
        <v>50.006203998759197</v>
      </c>
      <c r="AD7" s="25">
        <f t="shared" si="7"/>
        <v>41.718823529411765</v>
      </c>
      <c r="AE7" s="25">
        <f t="shared" si="8"/>
        <v>37.327368421052633</v>
      </c>
    </row>
    <row r="8" spans="1:31" x14ac:dyDescent="0.2">
      <c r="A8" s="10" t="s">
        <v>15</v>
      </c>
      <c r="B8" s="10" t="s">
        <v>36</v>
      </c>
      <c r="C8" s="10" t="s">
        <v>28</v>
      </c>
      <c r="D8" s="10" t="s">
        <v>37</v>
      </c>
      <c r="E8" s="6">
        <v>3.66</v>
      </c>
      <c r="F8" s="6">
        <f>F5+E8</f>
        <v>20.75</v>
      </c>
      <c r="G8" s="1" t="s">
        <v>29</v>
      </c>
      <c r="H8" s="1" t="s">
        <v>38</v>
      </c>
      <c r="I8" s="17">
        <f t="shared" si="0"/>
        <v>3.66</v>
      </c>
      <c r="J8" s="17">
        <f t="shared" si="1"/>
        <v>1.21</v>
      </c>
      <c r="L8" s="2">
        <v>0.45</v>
      </c>
      <c r="M8" s="2">
        <f>0.3+0.35+1</f>
        <v>1.65</v>
      </c>
      <c r="N8" s="2">
        <v>0.35</v>
      </c>
      <c r="W8" s="17">
        <f t="shared" si="2"/>
        <v>2.8277857142857137</v>
      </c>
      <c r="X8" s="6">
        <f>X5+W8</f>
        <v>15.138785714285714</v>
      </c>
      <c r="Y8" s="72"/>
      <c r="Z8" s="21">
        <f t="shared" si="3"/>
        <v>77.657935285053952</v>
      </c>
      <c r="AA8" s="21">
        <f t="shared" si="4"/>
        <v>82.239092586214227</v>
      </c>
      <c r="AB8" s="18">
        <f t="shared" si="5"/>
        <v>69.903228698282092</v>
      </c>
      <c r="AC8" s="18">
        <f t="shared" si="6"/>
        <v>78.12713795690351</v>
      </c>
      <c r="AD8" s="18">
        <f t="shared" si="7"/>
        <v>17.810336134453781</v>
      </c>
      <c r="AE8" s="18">
        <f t="shared" si="8"/>
        <v>15.935563909774435</v>
      </c>
    </row>
    <row r="9" spans="1:31" x14ac:dyDescent="0.2">
      <c r="A9" s="11" t="s">
        <v>15</v>
      </c>
      <c r="B9" s="11" t="s">
        <v>39</v>
      </c>
      <c r="C9" s="11" t="s">
        <v>37</v>
      </c>
      <c r="D9" s="11" t="s">
        <v>40</v>
      </c>
      <c r="E9" s="7">
        <v>13.63</v>
      </c>
      <c r="F9" s="7">
        <f>F8+E9</f>
        <v>34.380000000000003</v>
      </c>
      <c r="G9" s="3" t="s">
        <v>38</v>
      </c>
      <c r="H9" s="3" t="s">
        <v>41</v>
      </c>
      <c r="I9" s="22">
        <f t="shared" si="0"/>
        <v>13.63</v>
      </c>
      <c r="J9" s="22">
        <f t="shared" si="1"/>
        <v>0</v>
      </c>
      <c r="K9" s="23"/>
      <c r="L9" s="23"/>
      <c r="M9" s="23"/>
      <c r="N9" s="23"/>
      <c r="O9" s="23"/>
      <c r="P9" s="23">
        <v>6.81</v>
      </c>
      <c r="Q9" s="23">
        <v>6.82</v>
      </c>
      <c r="R9" s="23"/>
      <c r="S9" s="23"/>
      <c r="T9" s="23"/>
      <c r="U9" s="23"/>
      <c r="V9" s="23"/>
      <c r="W9" s="22">
        <f t="shared" si="2"/>
        <v>23.854999999999997</v>
      </c>
      <c r="X9" s="7">
        <f>X8+W9</f>
        <v>38.993785714285707</v>
      </c>
      <c r="Y9" s="73"/>
      <c r="Z9" s="24">
        <f t="shared" si="3"/>
        <v>34.282121148606166</v>
      </c>
      <c r="AA9" s="24">
        <f t="shared" si="4"/>
        <v>52.900736930609838</v>
      </c>
      <c r="AB9" s="25">
        <f t="shared" si="5"/>
        <v>44.965626391018361</v>
      </c>
      <c r="AC9" s="25">
        <f t="shared" si="6"/>
        <v>50.255700084079344</v>
      </c>
      <c r="AD9" s="25">
        <f t="shared" si="7"/>
        <v>45.875042016806709</v>
      </c>
      <c r="AE9" s="25">
        <f t="shared" si="8"/>
        <v>41.046090225563901</v>
      </c>
    </row>
    <row r="10" spans="1:31" x14ac:dyDescent="0.2">
      <c r="A10" s="10" t="s">
        <v>15</v>
      </c>
      <c r="B10" s="10" t="s">
        <v>42</v>
      </c>
      <c r="C10" s="10" t="s">
        <v>37</v>
      </c>
      <c r="D10" s="10" t="s">
        <v>43</v>
      </c>
      <c r="E10" s="6">
        <v>1.4199999570846558</v>
      </c>
      <c r="F10" s="6">
        <f>F8+E10</f>
        <v>22.169999957084656</v>
      </c>
      <c r="G10" s="1" t="s">
        <v>38</v>
      </c>
      <c r="H10" s="1" t="s">
        <v>44</v>
      </c>
      <c r="I10" s="17">
        <f t="shared" si="0"/>
        <v>1.4199999570846558</v>
      </c>
      <c r="J10" s="17">
        <f t="shared" si="1"/>
        <v>-4.2915344167226976E-8</v>
      </c>
      <c r="M10" s="2">
        <v>0.71</v>
      </c>
      <c r="N10" s="2">
        <v>0.71</v>
      </c>
      <c r="W10" s="17">
        <f t="shared" si="2"/>
        <v>1.318571402822222</v>
      </c>
      <c r="X10" s="6">
        <f>X8+W10</f>
        <v>16.457357117107936</v>
      </c>
      <c r="Y10" s="72"/>
      <c r="Z10" s="21">
        <f t="shared" si="3"/>
        <v>64.615383924389974</v>
      </c>
      <c r="AA10" s="21">
        <f t="shared" si="4"/>
        <v>80.827072534161331</v>
      </c>
      <c r="AB10" s="18">
        <f t="shared" si="5"/>
        <v>68.703011654037127</v>
      </c>
      <c r="AC10" s="18">
        <f t="shared" si="6"/>
        <v>76.785718907453258</v>
      </c>
      <c r="AD10" s="18">
        <f t="shared" si="7"/>
        <v>19.36159660836228</v>
      </c>
      <c r="AE10" s="18">
        <f t="shared" si="8"/>
        <v>17.323533807482036</v>
      </c>
    </row>
    <row r="11" spans="1:31" x14ac:dyDescent="0.2">
      <c r="A11" s="10" t="s">
        <v>15</v>
      </c>
      <c r="B11" s="10" t="s">
        <v>45</v>
      </c>
      <c r="C11" s="10" t="s">
        <v>43</v>
      </c>
      <c r="D11" s="10" t="s">
        <v>46</v>
      </c>
      <c r="E11" s="6">
        <v>25.52</v>
      </c>
      <c r="F11" s="6">
        <f>F10+E11</f>
        <v>47.689999957084652</v>
      </c>
      <c r="G11" s="1" t="s">
        <v>44</v>
      </c>
      <c r="H11" s="1" t="s">
        <v>47</v>
      </c>
      <c r="I11" s="17">
        <f t="shared" si="0"/>
        <v>25.52</v>
      </c>
      <c r="J11" s="17">
        <f t="shared" si="1"/>
        <v>13.620000000000001</v>
      </c>
      <c r="L11" s="2">
        <f>0.8+0.6+1.1+0.5</f>
        <v>3</v>
      </c>
      <c r="M11" s="2">
        <f>0.95+1+1.5+0.6+0.6+0.5</f>
        <v>5.1499999999999995</v>
      </c>
      <c r="N11" s="2">
        <f>0.95+1+0.6</f>
        <v>2.5499999999999998</v>
      </c>
      <c r="O11" s="2">
        <f>0.6+0.6</f>
        <v>1.2</v>
      </c>
      <c r="W11" s="17">
        <f t="shared" si="2"/>
        <v>18.826285714285717</v>
      </c>
      <c r="X11" s="6">
        <f>X10+W11</f>
        <v>35.283642831393649</v>
      </c>
      <c r="Y11" s="72"/>
      <c r="Z11" s="21">
        <f t="shared" si="3"/>
        <v>81.333090511746491</v>
      </c>
      <c r="AA11" s="21">
        <f t="shared" si="4"/>
        <v>81.097068437591886</v>
      </c>
      <c r="AB11" s="18">
        <f t="shared" si="5"/>
        <v>68.932508171953103</v>
      </c>
      <c r="AC11" s="18">
        <f t="shared" si="6"/>
        <v>77.042215015712287</v>
      </c>
      <c r="AD11" s="18">
        <f t="shared" si="7"/>
        <v>41.510168036933706</v>
      </c>
      <c r="AE11" s="18">
        <f t="shared" si="8"/>
        <v>37.140676664624898</v>
      </c>
    </row>
    <row r="12" spans="1:31" x14ac:dyDescent="0.2">
      <c r="A12" s="10" t="s">
        <v>15</v>
      </c>
      <c r="B12" s="10" t="s">
        <v>48</v>
      </c>
      <c r="C12" s="10" t="s">
        <v>46</v>
      </c>
      <c r="D12" s="10" t="s">
        <v>49</v>
      </c>
      <c r="E12" s="6">
        <v>4.25</v>
      </c>
      <c r="F12" s="6">
        <f>F11+E12</f>
        <v>51.939999957084652</v>
      </c>
      <c r="G12" s="1" t="s">
        <v>47</v>
      </c>
      <c r="H12" s="1" t="s">
        <v>50</v>
      </c>
      <c r="I12" s="17">
        <f t="shared" si="0"/>
        <v>4.25</v>
      </c>
      <c r="J12" s="17">
        <f t="shared" si="1"/>
        <v>0</v>
      </c>
      <c r="L12" s="2">
        <v>1.1299999999999999</v>
      </c>
      <c r="M12" s="2">
        <f>0.3</f>
        <v>0.3</v>
      </c>
      <c r="N12" s="2">
        <f>0.7</f>
        <v>0.7</v>
      </c>
      <c r="P12" s="2">
        <v>2.12</v>
      </c>
      <c r="W12" s="17">
        <f t="shared" si="2"/>
        <v>4.9846428571428572</v>
      </c>
      <c r="X12" s="6">
        <f>X11+W12</f>
        <v>40.268285688536508</v>
      </c>
      <c r="Y12" s="72"/>
      <c r="Z12" s="21">
        <f t="shared" si="3"/>
        <v>51.157125456760049</v>
      </c>
      <c r="AA12" s="21">
        <f t="shared" si="4"/>
        <v>77.390927975666202</v>
      </c>
      <c r="AB12" s="18">
        <f t="shared" si="5"/>
        <v>65.782288779316275</v>
      </c>
      <c r="AC12" s="18">
        <f t="shared" si="6"/>
        <v>73.521381576882888</v>
      </c>
      <c r="AD12" s="18">
        <f t="shared" si="7"/>
        <v>47.37445375121942</v>
      </c>
      <c r="AE12" s="18">
        <f t="shared" si="8"/>
        <v>42.387669145827907</v>
      </c>
    </row>
    <row r="13" spans="1:31" x14ac:dyDescent="0.2">
      <c r="A13" s="10"/>
      <c r="B13" s="10"/>
      <c r="C13" s="10"/>
      <c r="D13" s="10"/>
      <c r="E13" s="6"/>
      <c r="F13" s="6"/>
      <c r="G13" s="1"/>
      <c r="H13" s="1"/>
      <c r="X13" s="6"/>
      <c r="Y13" s="72"/>
    </row>
    <row r="14" spans="1:31" x14ac:dyDescent="0.2">
      <c r="B14" s="10"/>
      <c r="C14" s="10"/>
      <c r="D14" s="10"/>
      <c r="E14" s="6"/>
      <c r="F14" s="6"/>
      <c r="G14" s="1"/>
      <c r="H14" s="1"/>
      <c r="X14" s="6"/>
      <c r="Y14" s="72"/>
    </row>
    <row r="15" spans="1:31" x14ac:dyDescent="0.2">
      <c r="A15" s="8" t="s">
        <v>51</v>
      </c>
      <c r="B15" s="10" t="s">
        <v>16</v>
      </c>
      <c r="C15" s="10" t="s">
        <v>17</v>
      </c>
      <c r="D15" s="10" t="s">
        <v>18</v>
      </c>
      <c r="E15" s="6">
        <v>0.83</v>
      </c>
      <c r="F15" s="6">
        <f>F14+E15</f>
        <v>0.83</v>
      </c>
      <c r="G15" s="1" t="s">
        <v>19</v>
      </c>
      <c r="H15" s="1" t="s">
        <v>20</v>
      </c>
      <c r="I15" s="17">
        <f t="shared" ref="I15:I32" si="9">E15</f>
        <v>0.83</v>
      </c>
      <c r="J15" s="17">
        <f t="shared" si="1"/>
        <v>0</v>
      </c>
      <c r="O15" s="2">
        <v>0.55000000000000004</v>
      </c>
      <c r="T15" s="2">
        <v>0.28000000000000003</v>
      </c>
      <c r="W15" s="17">
        <f t="shared" ref="W15:W32" si="10">(J15/J$1+K15/K$1+L15/L$1+M15/M$1+N15/N$1+O15/O$1+P15/P$1+Q15/Q$1+R15/R$1+S15/S$1+T15/T$1+U15/U$1+V15/V$1)*60</f>
        <v>1.5</v>
      </c>
      <c r="X15" s="6">
        <f>X14+W15</f>
        <v>1.5</v>
      </c>
      <c r="Y15" s="72"/>
      <c r="Z15" s="21">
        <f t="shared" ref="Z15:Z32" si="11">I15/W15*60</f>
        <v>33.200000000000003</v>
      </c>
      <c r="AA15" s="21">
        <f t="shared" ref="AA15:AA32" si="12">F15/X15*60</f>
        <v>33.200000000000003</v>
      </c>
      <c r="AB15" s="18">
        <f t="shared" ref="AB15:AB32" si="13">AA15*0.85</f>
        <v>28.220000000000002</v>
      </c>
      <c r="AC15" s="18">
        <f t="shared" ref="AC15:AC32" si="14">AA15*0.95</f>
        <v>31.540000000000003</v>
      </c>
      <c r="AD15" s="18">
        <f t="shared" ref="AD15:AD32" si="15">$F15/AB15*60</f>
        <v>1.7647058823529409</v>
      </c>
      <c r="AE15" s="18">
        <f t="shared" ref="AE15:AE32" si="16">$F15/AC15*60</f>
        <v>1.5789473684210524</v>
      </c>
    </row>
    <row r="16" spans="1:31" x14ac:dyDescent="0.2">
      <c r="A16" s="8" t="s">
        <v>51</v>
      </c>
      <c r="B16" s="10" t="s">
        <v>52</v>
      </c>
      <c r="C16" s="10" t="s">
        <v>18</v>
      </c>
      <c r="D16" s="10" t="s">
        <v>53</v>
      </c>
      <c r="E16" s="6">
        <v>0.75</v>
      </c>
      <c r="F16" s="6">
        <f>F15+E16</f>
        <v>1.58</v>
      </c>
      <c r="G16" s="1" t="s">
        <v>20</v>
      </c>
      <c r="H16" s="1" t="s">
        <v>54</v>
      </c>
      <c r="I16" s="17">
        <f t="shared" si="9"/>
        <v>0.75</v>
      </c>
      <c r="J16" s="17">
        <f t="shared" si="1"/>
        <v>0</v>
      </c>
      <c r="O16" s="2">
        <v>0.75</v>
      </c>
      <c r="W16" s="17">
        <f t="shared" si="10"/>
        <v>0.89999999999999991</v>
      </c>
      <c r="X16" s="6">
        <f>X15+W16+0.5</f>
        <v>2.9</v>
      </c>
      <c r="Y16" s="72"/>
      <c r="Z16" s="21">
        <f t="shared" si="11"/>
        <v>50</v>
      </c>
      <c r="AA16" s="21">
        <f t="shared" si="12"/>
        <v>32.689655172413801</v>
      </c>
      <c r="AB16" s="18">
        <f t="shared" si="13"/>
        <v>27.786206896551729</v>
      </c>
      <c r="AC16" s="18">
        <f t="shared" si="14"/>
        <v>31.055172413793109</v>
      </c>
      <c r="AD16" s="18">
        <f t="shared" si="15"/>
        <v>3.4117647058823524</v>
      </c>
      <c r="AE16" s="18">
        <f t="shared" si="16"/>
        <v>3.0526315789473681</v>
      </c>
    </row>
    <row r="17" spans="1:32" x14ac:dyDescent="0.2">
      <c r="A17" s="34" t="s">
        <v>51</v>
      </c>
      <c r="B17" s="34" t="s">
        <v>55</v>
      </c>
      <c r="C17" s="35" t="s">
        <v>53</v>
      </c>
      <c r="D17" s="34" t="s">
        <v>56</v>
      </c>
      <c r="E17" s="36">
        <v>3.25</v>
      </c>
      <c r="F17" s="36">
        <f>F16+E17</f>
        <v>4.83</v>
      </c>
      <c r="G17" s="37" t="s">
        <v>54</v>
      </c>
      <c r="H17" s="37" t="s">
        <v>57</v>
      </c>
      <c r="I17" s="38">
        <f t="shared" si="9"/>
        <v>3.25</v>
      </c>
      <c r="J17" s="38">
        <f t="shared" si="1"/>
        <v>0</v>
      </c>
      <c r="K17" s="39"/>
      <c r="L17" s="39"/>
      <c r="M17" s="39"/>
      <c r="N17" s="39"/>
      <c r="O17" s="39">
        <v>3.25</v>
      </c>
      <c r="P17" s="39"/>
      <c r="Q17" s="39"/>
      <c r="R17" s="39"/>
      <c r="S17" s="39"/>
      <c r="T17" s="39"/>
      <c r="U17" s="39"/>
      <c r="V17" s="39"/>
      <c r="W17" s="38">
        <f t="shared" si="10"/>
        <v>3.9000000000000004</v>
      </c>
      <c r="X17" s="36">
        <f>X16+W17+2</f>
        <v>8.8000000000000007</v>
      </c>
      <c r="Y17" s="76"/>
      <c r="Z17" s="40">
        <f t="shared" si="11"/>
        <v>49.999999999999993</v>
      </c>
      <c r="AA17" s="40">
        <f t="shared" si="12"/>
        <v>32.93181818181818</v>
      </c>
      <c r="AB17" s="41">
        <f t="shared" si="13"/>
        <v>27.992045454545451</v>
      </c>
      <c r="AC17" s="41">
        <f t="shared" si="14"/>
        <v>31.285227272727269</v>
      </c>
      <c r="AD17" s="41">
        <f t="shared" si="15"/>
        <v>10.352941176470591</v>
      </c>
      <c r="AE17" s="41">
        <f t="shared" si="16"/>
        <v>9.2631578947368425</v>
      </c>
    </row>
    <row r="18" spans="1:32" x14ac:dyDescent="0.2">
      <c r="A18" s="42" t="s">
        <v>51</v>
      </c>
      <c r="B18" s="43" t="s">
        <v>58</v>
      </c>
      <c r="C18" s="43" t="s">
        <v>56</v>
      </c>
      <c r="D18" s="43" t="s">
        <v>59</v>
      </c>
      <c r="E18" s="44">
        <v>15.34</v>
      </c>
      <c r="F18" s="36">
        <f>F17+E18</f>
        <v>20.170000000000002</v>
      </c>
      <c r="G18" s="37" t="s">
        <v>57</v>
      </c>
      <c r="H18" s="45" t="s">
        <v>60</v>
      </c>
      <c r="I18" s="38">
        <f t="shared" si="9"/>
        <v>15.34</v>
      </c>
      <c r="J18" s="38">
        <f t="shared" si="1"/>
        <v>0</v>
      </c>
      <c r="K18" s="39"/>
      <c r="L18" s="39">
        <v>13.84</v>
      </c>
      <c r="M18" s="39"/>
      <c r="N18" s="39">
        <v>1.5</v>
      </c>
      <c r="O18" s="39"/>
      <c r="P18" s="39"/>
      <c r="Q18" s="39"/>
      <c r="R18" s="39"/>
      <c r="S18" s="39"/>
      <c r="T18" s="39"/>
      <c r="U18" s="39"/>
      <c r="V18" s="39"/>
      <c r="W18" s="38">
        <f t="shared" si="10"/>
        <v>11.879999999999999</v>
      </c>
      <c r="X18" s="36">
        <f>X17+W18</f>
        <v>20.68</v>
      </c>
      <c r="Y18" s="76"/>
      <c r="Z18" s="40">
        <f t="shared" si="11"/>
        <v>77.474747474747474</v>
      </c>
      <c r="AA18" s="40">
        <f t="shared" si="12"/>
        <v>58.520309477756292</v>
      </c>
      <c r="AB18" s="41">
        <f t="shared" si="13"/>
        <v>49.742263056092845</v>
      </c>
      <c r="AC18" s="41">
        <f t="shared" si="14"/>
        <v>55.594294003868477</v>
      </c>
      <c r="AD18" s="41">
        <f t="shared" si="15"/>
        <v>24.329411764705885</v>
      </c>
      <c r="AE18" s="41">
        <f t="shared" si="16"/>
        <v>21.768421052631577</v>
      </c>
    </row>
    <row r="19" spans="1:32" x14ac:dyDescent="0.2">
      <c r="A19" s="42" t="s">
        <v>51</v>
      </c>
      <c r="B19" s="43" t="s">
        <v>61</v>
      </c>
      <c r="C19" s="43" t="s">
        <v>59</v>
      </c>
      <c r="D19" s="43" t="s">
        <v>62</v>
      </c>
      <c r="E19" s="44">
        <v>0.56000000000000005</v>
      </c>
      <c r="F19" s="36">
        <f>F18+E19</f>
        <v>20.73</v>
      </c>
      <c r="G19" s="45" t="s">
        <v>60</v>
      </c>
      <c r="H19" s="45" t="s">
        <v>63</v>
      </c>
      <c r="I19" s="38">
        <f t="shared" si="9"/>
        <v>0.56000000000000005</v>
      </c>
      <c r="J19" s="38">
        <f t="shared" si="1"/>
        <v>0</v>
      </c>
      <c r="K19" s="39"/>
      <c r="L19" s="39"/>
      <c r="M19" s="39"/>
      <c r="N19" s="39"/>
      <c r="O19" s="39"/>
      <c r="P19" s="39">
        <v>0.56000000000000005</v>
      </c>
      <c r="Q19" s="39"/>
      <c r="R19" s="39"/>
      <c r="S19" s="39"/>
      <c r="T19" s="39"/>
      <c r="U19" s="39"/>
      <c r="V19" s="39"/>
      <c r="W19" s="38">
        <f t="shared" si="10"/>
        <v>0.84000000000000008</v>
      </c>
      <c r="X19" s="36">
        <f>X18+W19</f>
        <v>21.52</v>
      </c>
      <c r="Y19" s="76"/>
      <c r="Z19" s="40">
        <f t="shared" si="11"/>
        <v>40</v>
      </c>
      <c r="AA19" s="40">
        <f t="shared" si="12"/>
        <v>57.797397769516735</v>
      </c>
      <c r="AB19" s="41">
        <f t="shared" si="13"/>
        <v>49.127788104089227</v>
      </c>
      <c r="AC19" s="41">
        <f t="shared" si="14"/>
        <v>54.907527881040899</v>
      </c>
      <c r="AD19" s="41">
        <f t="shared" si="15"/>
        <v>25.317647058823525</v>
      </c>
      <c r="AE19" s="41">
        <f t="shared" si="16"/>
        <v>22.652631578947368</v>
      </c>
    </row>
    <row r="20" spans="1:32" x14ac:dyDescent="0.2">
      <c r="A20" s="26" t="s">
        <v>51</v>
      </c>
      <c r="B20" s="10" t="s">
        <v>64</v>
      </c>
      <c r="C20" s="10" t="s">
        <v>53</v>
      </c>
      <c r="D20" s="10" t="s">
        <v>65</v>
      </c>
      <c r="E20" s="6">
        <v>5.940000057220459</v>
      </c>
      <c r="F20" s="6">
        <f>F16+E20</f>
        <v>7.5200000572204591</v>
      </c>
      <c r="G20" s="1" t="s">
        <v>54</v>
      </c>
      <c r="H20" s="1" t="s">
        <v>66</v>
      </c>
      <c r="I20" s="28">
        <f t="shared" si="9"/>
        <v>5.940000057220459</v>
      </c>
      <c r="J20" s="28">
        <f t="shared" si="1"/>
        <v>5.7220459481754915E-8</v>
      </c>
      <c r="K20" s="27"/>
      <c r="L20" s="27">
        <f>3.84-1.5</f>
        <v>2.34</v>
      </c>
      <c r="M20" s="27"/>
      <c r="N20" s="27">
        <v>1.8</v>
      </c>
      <c r="O20" s="27">
        <v>1.8</v>
      </c>
      <c r="P20" s="27"/>
      <c r="Q20" s="27"/>
      <c r="R20" s="27"/>
      <c r="S20" s="27"/>
      <c r="T20" s="27"/>
      <c r="U20" s="27"/>
      <c r="V20" s="27"/>
      <c r="W20" s="28">
        <f t="shared" si="10"/>
        <v>5.7150000343322764</v>
      </c>
      <c r="X20" s="6">
        <f>X16+W20</f>
        <v>8.6150000343322759</v>
      </c>
      <c r="Y20" s="72"/>
      <c r="Z20" s="29">
        <f t="shared" si="11"/>
        <v>62.362204950514617</v>
      </c>
      <c r="AA20" s="29">
        <f t="shared" si="12"/>
        <v>52.373766875811597</v>
      </c>
      <c r="AB20" s="30">
        <f t="shared" si="13"/>
        <v>44.517701844439856</v>
      </c>
      <c r="AC20" s="30">
        <f t="shared" si="14"/>
        <v>49.755078532021017</v>
      </c>
      <c r="AD20" s="30">
        <f t="shared" si="15"/>
        <v>10.135294158037972</v>
      </c>
      <c r="AE20" s="30">
        <f t="shared" si="16"/>
        <v>9.0684210887708172</v>
      </c>
    </row>
    <row r="21" spans="1:32" x14ac:dyDescent="0.2">
      <c r="A21" s="26" t="s">
        <v>51</v>
      </c>
      <c r="B21" s="10" t="s">
        <v>67</v>
      </c>
      <c r="C21" s="10" t="s">
        <v>65</v>
      </c>
      <c r="D21" s="10" t="s">
        <v>62</v>
      </c>
      <c r="E21" s="6">
        <v>9.9399995803833008</v>
      </c>
      <c r="F21" s="6">
        <f>F20+E21</f>
        <v>17.459999637603758</v>
      </c>
      <c r="G21" s="1" t="s">
        <v>66</v>
      </c>
      <c r="H21" s="1" t="s">
        <v>63</v>
      </c>
      <c r="I21" s="28">
        <f t="shared" si="9"/>
        <v>9.9399995803833008</v>
      </c>
      <c r="J21" s="28">
        <f t="shared" si="1"/>
        <v>-4.1961670049772692E-7</v>
      </c>
      <c r="K21" s="27"/>
      <c r="L21" s="27">
        <f>6.34-2</f>
        <v>4.34</v>
      </c>
      <c r="M21" s="30">
        <v>1</v>
      </c>
      <c r="N21" s="27">
        <v>2.1</v>
      </c>
      <c r="O21" s="27">
        <v>2.2000000000000002</v>
      </c>
      <c r="P21" s="27">
        <v>0.3</v>
      </c>
      <c r="Q21" s="27"/>
      <c r="R21" s="27"/>
      <c r="S21" s="27"/>
      <c r="T21" s="27"/>
      <c r="U21" s="27"/>
      <c r="V21" s="27"/>
      <c r="W21" s="28">
        <f t="shared" si="10"/>
        <v>9.302142605372838</v>
      </c>
      <c r="X21" s="6">
        <f>X20+W21</f>
        <v>17.917142639705112</v>
      </c>
      <c r="Y21" s="72"/>
      <c r="Z21" s="29">
        <f t="shared" si="11"/>
        <v>64.114258415961331</v>
      </c>
      <c r="AA21" s="29">
        <f t="shared" si="12"/>
        <v>58.469143173236873</v>
      </c>
      <c r="AB21" s="30">
        <f t="shared" si="13"/>
        <v>49.698771697251338</v>
      </c>
      <c r="AC21" s="30">
        <f t="shared" si="14"/>
        <v>55.545686014575026</v>
      </c>
      <c r="AD21" s="30">
        <f t="shared" si="15"/>
        <v>21.078991340829546</v>
      </c>
      <c r="AE21" s="30">
        <f t="shared" si="16"/>
        <v>18.860150147058015</v>
      </c>
    </row>
    <row r="22" spans="1:32" x14ac:dyDescent="0.2">
      <c r="A22" s="12" t="s">
        <v>51</v>
      </c>
      <c r="B22" s="31" t="s">
        <v>61</v>
      </c>
      <c r="C22" s="31" t="s">
        <v>62</v>
      </c>
      <c r="D22" s="31" t="s">
        <v>59</v>
      </c>
      <c r="E22" s="32">
        <v>0.56000000000000005</v>
      </c>
      <c r="F22" s="32">
        <f>F21+E22</f>
        <v>18.019999637603757</v>
      </c>
      <c r="G22" s="3" t="s">
        <v>63</v>
      </c>
      <c r="H22" s="33" t="s">
        <v>60</v>
      </c>
      <c r="I22" s="22">
        <f t="shared" si="9"/>
        <v>0.56000000000000005</v>
      </c>
      <c r="J22" s="22">
        <f t="shared" si="1"/>
        <v>0</v>
      </c>
      <c r="K22" s="23"/>
      <c r="L22" s="23"/>
      <c r="M22" s="23"/>
      <c r="N22" s="23"/>
      <c r="O22" s="23"/>
      <c r="P22" s="23">
        <v>0.56000000000000005</v>
      </c>
      <c r="Q22" s="23"/>
      <c r="R22" s="23"/>
      <c r="S22" s="23"/>
      <c r="T22" s="23"/>
      <c r="U22" s="23"/>
      <c r="V22" s="23"/>
      <c r="W22" s="22">
        <f t="shared" si="10"/>
        <v>0.84000000000000008</v>
      </c>
      <c r="X22" s="32">
        <f>X21+W22</f>
        <v>18.757142639705112</v>
      </c>
      <c r="Y22" s="77"/>
      <c r="Z22" s="24">
        <f t="shared" si="11"/>
        <v>40</v>
      </c>
      <c r="AA22" s="24">
        <f t="shared" si="12"/>
        <v>57.642040636165007</v>
      </c>
      <c r="AB22" s="25">
        <f t="shared" si="13"/>
        <v>48.995734540740251</v>
      </c>
      <c r="AC22" s="25">
        <f t="shared" si="14"/>
        <v>54.759938604356755</v>
      </c>
      <c r="AD22" s="25">
        <f t="shared" si="15"/>
        <v>22.067226634947193</v>
      </c>
      <c r="AE22" s="25">
        <f t="shared" si="16"/>
        <v>19.744360673373802</v>
      </c>
    </row>
    <row r="23" spans="1:32" x14ac:dyDescent="0.2">
      <c r="A23" s="12" t="s">
        <v>51</v>
      </c>
      <c r="B23" s="11" t="s">
        <v>68</v>
      </c>
      <c r="C23" s="11" t="s">
        <v>59</v>
      </c>
      <c r="D23" s="11" t="s">
        <v>69</v>
      </c>
      <c r="E23" s="7">
        <v>1.9</v>
      </c>
      <c r="F23" s="32">
        <f>F22+E23</f>
        <v>19.919999637603755</v>
      </c>
      <c r="G23" s="33" t="s">
        <v>60</v>
      </c>
      <c r="H23" s="3" t="s">
        <v>70</v>
      </c>
      <c r="I23" s="22">
        <f t="shared" si="9"/>
        <v>1.9</v>
      </c>
      <c r="J23" s="22">
        <f t="shared" si="1"/>
        <v>0</v>
      </c>
      <c r="K23" s="23"/>
      <c r="L23" s="23"/>
      <c r="M23" s="23">
        <v>1.9</v>
      </c>
      <c r="N23" s="23"/>
      <c r="O23" s="23"/>
      <c r="P23" s="23"/>
      <c r="Q23" s="23"/>
      <c r="R23" s="23"/>
      <c r="S23" s="23"/>
      <c r="T23" s="23"/>
      <c r="U23" s="23"/>
      <c r="V23" s="23"/>
      <c r="W23" s="22">
        <f t="shared" si="10"/>
        <v>1.6285714285714286</v>
      </c>
      <c r="X23" s="7">
        <f>X22+W23</f>
        <v>20.385714068276542</v>
      </c>
      <c r="Y23" s="73"/>
      <c r="Z23" s="24">
        <f t="shared" si="11"/>
        <v>69.999999999999986</v>
      </c>
      <c r="AA23" s="24">
        <f t="shared" si="12"/>
        <v>58.629291780176061</v>
      </c>
      <c r="AB23" s="25">
        <f t="shared" si="13"/>
        <v>49.834898013149648</v>
      </c>
      <c r="AC23" s="25">
        <f t="shared" si="14"/>
        <v>55.697827191167256</v>
      </c>
      <c r="AD23" s="25">
        <f t="shared" si="15"/>
        <v>23.983193021501815</v>
      </c>
      <c r="AE23" s="25">
        <f t="shared" si="16"/>
        <v>21.45864638765952</v>
      </c>
    </row>
    <row r="24" spans="1:32" x14ac:dyDescent="0.2">
      <c r="A24" s="12" t="s">
        <v>51</v>
      </c>
      <c r="B24" s="11" t="s">
        <v>71</v>
      </c>
      <c r="C24" s="11" t="s">
        <v>69</v>
      </c>
      <c r="D24" s="11" t="s">
        <v>72</v>
      </c>
      <c r="E24" s="7">
        <v>2.97</v>
      </c>
      <c r="F24" s="7">
        <f>F23+E24</f>
        <v>22.889999637603754</v>
      </c>
      <c r="G24" s="3" t="s">
        <v>70</v>
      </c>
      <c r="H24" s="3" t="s">
        <v>73</v>
      </c>
      <c r="I24" s="22">
        <f t="shared" si="9"/>
        <v>2.97</v>
      </c>
      <c r="J24" s="22">
        <f t="shared" si="1"/>
        <v>0</v>
      </c>
      <c r="K24" s="23"/>
      <c r="L24" s="23"/>
      <c r="M24" s="23">
        <v>1.57</v>
      </c>
      <c r="N24" s="23">
        <v>1.4</v>
      </c>
      <c r="O24" s="23"/>
      <c r="P24" s="23"/>
      <c r="Q24" s="23"/>
      <c r="R24" s="23"/>
      <c r="S24" s="23"/>
      <c r="T24" s="23"/>
      <c r="U24" s="23"/>
      <c r="V24" s="23"/>
      <c r="W24" s="22">
        <f t="shared" si="10"/>
        <v>2.7457142857142856</v>
      </c>
      <c r="X24" s="7">
        <f>X23+W24</f>
        <v>23.131428353990827</v>
      </c>
      <c r="Y24" s="73"/>
      <c r="Z24" s="24">
        <f t="shared" si="11"/>
        <v>64.901144640998965</v>
      </c>
      <c r="AA24" s="24">
        <f t="shared" si="12"/>
        <v>59.373764440243697</v>
      </c>
      <c r="AB24" s="25">
        <f t="shared" si="13"/>
        <v>50.467699774207141</v>
      </c>
      <c r="AC24" s="25">
        <f t="shared" si="14"/>
        <v>56.405076218231507</v>
      </c>
      <c r="AD24" s="25">
        <f t="shared" si="15"/>
        <v>27.213445122342151</v>
      </c>
      <c r="AE24" s="25">
        <f t="shared" si="16"/>
        <v>24.34887195156929</v>
      </c>
    </row>
    <row r="25" spans="1:32" x14ac:dyDescent="0.2">
      <c r="A25" s="12" t="s">
        <v>51</v>
      </c>
      <c r="B25" s="11" t="s">
        <v>74</v>
      </c>
      <c r="C25" s="11" t="s">
        <v>72</v>
      </c>
      <c r="D25" s="11" t="s">
        <v>75</v>
      </c>
      <c r="E25" s="7">
        <v>3.17</v>
      </c>
      <c r="F25" s="7">
        <f>F24+E25</f>
        <v>26.059999637603752</v>
      </c>
      <c r="G25" s="3" t="s">
        <v>73</v>
      </c>
      <c r="H25" s="3" t="s">
        <v>76</v>
      </c>
      <c r="I25" s="22">
        <f t="shared" si="9"/>
        <v>3.17</v>
      </c>
      <c r="J25" s="22">
        <f t="shared" si="1"/>
        <v>0</v>
      </c>
      <c r="K25" s="23"/>
      <c r="L25" s="23"/>
      <c r="M25" s="23"/>
      <c r="N25" s="23"/>
      <c r="O25" s="23"/>
      <c r="P25" s="23"/>
      <c r="Q25" s="23"/>
      <c r="R25" s="23">
        <v>1.17</v>
      </c>
      <c r="S25" s="23">
        <v>2</v>
      </c>
      <c r="T25" s="23"/>
      <c r="U25" s="23"/>
      <c r="V25" s="23"/>
      <c r="W25" s="22">
        <f t="shared" si="10"/>
        <v>8.1413333333333338</v>
      </c>
      <c r="X25" s="7">
        <f>X24+W25</f>
        <v>31.272761687324163</v>
      </c>
      <c r="Y25" s="73"/>
      <c r="Z25" s="24">
        <f t="shared" si="11"/>
        <v>23.362266622993776</v>
      </c>
      <c r="AA25" s="24">
        <f t="shared" si="12"/>
        <v>49.998781492010075</v>
      </c>
      <c r="AB25" s="25">
        <f t="shared" si="13"/>
        <v>42.49896426820856</v>
      </c>
      <c r="AC25" s="25">
        <f t="shared" si="14"/>
        <v>47.49884241740957</v>
      </c>
      <c r="AD25" s="25">
        <f t="shared" si="15"/>
        <v>36.791484338028425</v>
      </c>
      <c r="AE25" s="25">
        <f t="shared" si="16"/>
        <v>32.918696512972801</v>
      </c>
    </row>
    <row r="26" spans="1:32" x14ac:dyDescent="0.2">
      <c r="A26" s="8" t="s">
        <v>51</v>
      </c>
      <c r="B26" s="10" t="s">
        <v>77</v>
      </c>
      <c r="C26" s="10" t="s">
        <v>62</v>
      </c>
      <c r="D26" s="10" t="s">
        <v>78</v>
      </c>
      <c r="E26" s="6">
        <v>0.94</v>
      </c>
      <c r="F26" s="6">
        <f>F21+E26</f>
        <v>18.399999637603759</v>
      </c>
      <c r="G26" s="1" t="s">
        <v>63</v>
      </c>
      <c r="H26" s="1" t="s">
        <v>79</v>
      </c>
      <c r="I26" s="17">
        <f t="shared" si="9"/>
        <v>0.94</v>
      </c>
      <c r="J26" s="17">
        <f t="shared" ref="J26:J42" si="17">I26-SUM(K26:V26)</f>
        <v>0</v>
      </c>
      <c r="L26" s="2">
        <v>0.64</v>
      </c>
      <c r="N26" s="2">
        <v>0.3</v>
      </c>
      <c r="W26" s="17">
        <f t="shared" si="10"/>
        <v>0.78</v>
      </c>
      <c r="X26" s="6">
        <f>X21+W26</f>
        <v>18.697142639705113</v>
      </c>
      <c r="Y26" s="72"/>
      <c r="Z26" s="21">
        <f t="shared" si="11"/>
        <v>72.307692307692307</v>
      </c>
      <c r="AA26" s="21">
        <f t="shared" si="12"/>
        <v>59.046454291458382</v>
      </c>
      <c r="AB26" s="18">
        <f t="shared" si="13"/>
        <v>50.189486147739622</v>
      </c>
      <c r="AC26" s="18">
        <f t="shared" si="14"/>
        <v>56.094131576885459</v>
      </c>
      <c r="AD26" s="18">
        <f t="shared" si="15"/>
        <v>21.996638399653076</v>
      </c>
      <c r="AE26" s="18">
        <f t="shared" si="16"/>
        <v>19.681202778636962</v>
      </c>
    </row>
    <row r="27" spans="1:32" x14ac:dyDescent="0.2">
      <c r="A27" s="8" t="s">
        <v>51</v>
      </c>
      <c r="B27" s="10" t="s">
        <v>80</v>
      </c>
      <c r="C27" s="10" t="s">
        <v>78</v>
      </c>
      <c r="D27" s="10" t="s">
        <v>81</v>
      </c>
      <c r="E27" s="6">
        <v>6.22</v>
      </c>
      <c r="F27" s="6">
        <f t="shared" ref="F27:F32" si="18">F26+E27</f>
        <v>24.619999637603758</v>
      </c>
      <c r="G27" s="1" t="s">
        <v>79</v>
      </c>
      <c r="H27" s="1" t="s">
        <v>82</v>
      </c>
      <c r="I27" s="17">
        <f t="shared" si="9"/>
        <v>6.22</v>
      </c>
      <c r="J27" s="17">
        <f t="shared" si="17"/>
        <v>0</v>
      </c>
      <c r="M27" s="2">
        <v>6.22</v>
      </c>
      <c r="W27" s="17">
        <f t="shared" si="10"/>
        <v>5.331428571428571</v>
      </c>
      <c r="X27" s="6">
        <f t="shared" ref="X27:X32" si="19">X26+W27</f>
        <v>24.028571211133684</v>
      </c>
      <c r="Y27" s="72"/>
      <c r="Z27" s="21">
        <f t="shared" si="11"/>
        <v>70</v>
      </c>
      <c r="AA27" s="21">
        <f t="shared" si="12"/>
        <v>61.476812968877738</v>
      </c>
      <c r="AB27" s="18">
        <f t="shared" si="13"/>
        <v>52.255291023546079</v>
      </c>
      <c r="AC27" s="18">
        <f t="shared" si="14"/>
        <v>58.402972320433847</v>
      </c>
      <c r="AD27" s="18">
        <f t="shared" si="15"/>
        <v>28.2689073072161</v>
      </c>
      <c r="AE27" s="18">
        <f t="shared" si="16"/>
        <v>25.293232853824932</v>
      </c>
      <c r="AF27" s="72"/>
    </row>
    <row r="28" spans="1:32" x14ac:dyDescent="0.2">
      <c r="A28" s="8" t="s">
        <v>51</v>
      </c>
      <c r="B28" s="10" t="s">
        <v>83</v>
      </c>
      <c r="C28" s="10" t="s">
        <v>81</v>
      </c>
      <c r="D28" s="10" t="s">
        <v>84</v>
      </c>
      <c r="E28" s="6">
        <v>3.9</v>
      </c>
      <c r="F28" s="6">
        <f t="shared" si="18"/>
        <v>28.519999637603757</v>
      </c>
      <c r="G28" s="1" t="s">
        <v>82</v>
      </c>
      <c r="H28" s="1" t="s">
        <v>85</v>
      </c>
      <c r="I28" s="17">
        <f t="shared" si="9"/>
        <v>3.9</v>
      </c>
      <c r="J28" s="17">
        <f t="shared" si="17"/>
        <v>0</v>
      </c>
      <c r="L28" s="2">
        <v>3.9</v>
      </c>
      <c r="W28" s="17">
        <f t="shared" si="10"/>
        <v>2.9250000000000003</v>
      </c>
      <c r="X28" s="6">
        <f t="shared" si="19"/>
        <v>26.953571211133685</v>
      </c>
      <c r="Y28" s="72"/>
      <c r="Z28" s="21">
        <f t="shared" si="11"/>
        <v>80</v>
      </c>
      <c r="AA28" s="21">
        <f t="shared" si="12"/>
        <v>63.486948161785023</v>
      </c>
      <c r="AB28" s="18">
        <f t="shared" si="13"/>
        <v>53.963905937517268</v>
      </c>
      <c r="AC28" s="18">
        <f t="shared" si="14"/>
        <v>60.312600753695769</v>
      </c>
      <c r="AD28" s="18">
        <f t="shared" si="15"/>
        <v>31.710083777804339</v>
      </c>
      <c r="AE28" s="18">
        <f t="shared" si="16"/>
        <v>28.372180222245987</v>
      </c>
      <c r="AF28" s="72"/>
    </row>
    <row r="29" spans="1:32" x14ac:dyDescent="0.2">
      <c r="A29" s="8" t="s">
        <v>51</v>
      </c>
      <c r="B29" s="10" t="s">
        <v>86</v>
      </c>
      <c r="C29" s="10" t="s">
        <v>84</v>
      </c>
      <c r="D29" s="10" t="s">
        <v>87</v>
      </c>
      <c r="E29" s="6">
        <v>1.32</v>
      </c>
      <c r="F29" s="6">
        <f t="shared" si="18"/>
        <v>29.839999637603757</v>
      </c>
      <c r="G29" s="1" t="s">
        <v>85</v>
      </c>
      <c r="H29" s="1" t="s">
        <v>88</v>
      </c>
      <c r="I29" s="17">
        <f t="shared" si="9"/>
        <v>1.32</v>
      </c>
      <c r="J29" s="17">
        <f t="shared" si="17"/>
        <v>0</v>
      </c>
      <c r="O29" s="2">
        <v>1.32</v>
      </c>
      <c r="W29" s="17">
        <f t="shared" si="10"/>
        <v>1.5840000000000001</v>
      </c>
      <c r="X29" s="6">
        <f t="shared" si="19"/>
        <v>28.537571211133685</v>
      </c>
      <c r="Y29" s="72"/>
      <c r="Z29" s="21">
        <f t="shared" si="11"/>
        <v>50</v>
      </c>
      <c r="AA29" s="21">
        <f t="shared" si="12"/>
        <v>62.73834465484282</v>
      </c>
      <c r="AB29" s="18">
        <f t="shared" si="13"/>
        <v>53.327592956616392</v>
      </c>
      <c r="AC29" s="18">
        <f t="shared" si="14"/>
        <v>59.601427422100677</v>
      </c>
      <c r="AD29" s="18">
        <f t="shared" si="15"/>
        <v>33.573613189569045</v>
      </c>
      <c r="AE29" s="18">
        <f t="shared" si="16"/>
        <v>30.039548643298616</v>
      </c>
      <c r="AF29" s="71"/>
    </row>
    <row r="30" spans="1:32" x14ac:dyDescent="0.2">
      <c r="A30" s="8" t="s">
        <v>51</v>
      </c>
      <c r="B30" s="10" t="s">
        <v>89</v>
      </c>
      <c r="C30" s="10" t="s">
        <v>87</v>
      </c>
      <c r="D30" s="10" t="s">
        <v>90</v>
      </c>
      <c r="E30" s="6">
        <v>12.86</v>
      </c>
      <c r="F30" s="6">
        <f t="shared" si="18"/>
        <v>42.699999637603753</v>
      </c>
      <c r="G30" s="1" t="s">
        <v>88</v>
      </c>
      <c r="H30" s="1" t="s">
        <v>91</v>
      </c>
      <c r="I30" s="17">
        <f t="shared" si="9"/>
        <v>12.86</v>
      </c>
      <c r="J30" s="17">
        <f t="shared" si="17"/>
        <v>0</v>
      </c>
      <c r="O30" s="2">
        <v>12.86</v>
      </c>
      <c r="W30" s="17">
        <f t="shared" si="10"/>
        <v>15.431999999999999</v>
      </c>
      <c r="X30" s="6">
        <f t="shared" si="19"/>
        <v>43.969571211133683</v>
      </c>
      <c r="Y30" s="72"/>
      <c r="Z30" s="21">
        <f t="shared" si="11"/>
        <v>50</v>
      </c>
      <c r="AA30" s="21">
        <f t="shared" si="12"/>
        <v>58.267567949525343</v>
      </c>
      <c r="AB30" s="18">
        <f t="shared" si="13"/>
        <v>49.527432757096541</v>
      </c>
      <c r="AC30" s="18">
        <f t="shared" si="14"/>
        <v>55.354189552049071</v>
      </c>
      <c r="AD30" s="18">
        <f t="shared" si="15"/>
        <v>51.728907307216097</v>
      </c>
      <c r="AE30" s="18">
        <f t="shared" si="16"/>
        <v>46.283759169614406</v>
      </c>
      <c r="AF30" s="71"/>
    </row>
    <row r="31" spans="1:32" x14ac:dyDescent="0.2">
      <c r="A31" s="8" t="s">
        <v>51</v>
      </c>
      <c r="B31" s="10" t="s">
        <v>92</v>
      </c>
      <c r="C31" s="10" t="s">
        <v>90</v>
      </c>
      <c r="D31" s="10" t="s">
        <v>93</v>
      </c>
      <c r="E31" s="6">
        <v>2.31</v>
      </c>
      <c r="F31" s="6">
        <f t="shared" si="18"/>
        <v>45.009999637603755</v>
      </c>
      <c r="G31" s="1" t="s">
        <v>91</v>
      </c>
      <c r="H31" s="1" t="s">
        <v>94</v>
      </c>
      <c r="I31" s="17">
        <f t="shared" si="9"/>
        <v>2.31</v>
      </c>
      <c r="J31" s="17">
        <f t="shared" si="17"/>
        <v>0</v>
      </c>
      <c r="O31" s="2">
        <v>2.31</v>
      </c>
      <c r="W31" s="17">
        <f t="shared" si="10"/>
        <v>2.7719999999999998</v>
      </c>
      <c r="X31" s="6">
        <f t="shared" si="19"/>
        <v>46.741571211133682</v>
      </c>
      <c r="Y31" s="72"/>
      <c r="Z31" s="21">
        <f t="shared" si="11"/>
        <v>50</v>
      </c>
      <c r="AA31" s="21">
        <f t="shared" si="12"/>
        <v>57.777261403077347</v>
      </c>
      <c r="AB31" s="18">
        <f t="shared" si="13"/>
        <v>49.110672192615745</v>
      </c>
      <c r="AC31" s="18">
        <f t="shared" si="14"/>
        <v>54.888398332923479</v>
      </c>
      <c r="AD31" s="18">
        <f t="shared" si="15"/>
        <v>54.99008377780433</v>
      </c>
      <c r="AE31" s="18">
        <f t="shared" si="16"/>
        <v>49.201653906456507</v>
      </c>
      <c r="AF31" s="78"/>
    </row>
    <row r="32" spans="1:32" x14ac:dyDescent="0.2">
      <c r="A32" s="8" t="s">
        <v>51</v>
      </c>
      <c r="B32" s="10" t="s">
        <v>95</v>
      </c>
      <c r="C32" s="10" t="s">
        <v>93</v>
      </c>
      <c r="D32" s="10" t="s">
        <v>96</v>
      </c>
      <c r="E32" s="6">
        <v>0.94</v>
      </c>
      <c r="F32" s="6">
        <f t="shared" si="18"/>
        <v>45.949999637603753</v>
      </c>
      <c r="G32" s="1" t="s">
        <v>94</v>
      </c>
      <c r="H32" s="1" t="s">
        <v>97</v>
      </c>
      <c r="I32" s="17">
        <f t="shared" si="9"/>
        <v>0.94</v>
      </c>
      <c r="J32" s="17">
        <f t="shared" si="17"/>
        <v>0</v>
      </c>
      <c r="P32" s="2">
        <v>0.94</v>
      </c>
      <c r="W32" s="17">
        <f t="shared" si="10"/>
        <v>1.41</v>
      </c>
      <c r="X32" s="6">
        <f t="shared" si="19"/>
        <v>48.151571211133678</v>
      </c>
      <c r="Y32" s="72"/>
      <c r="Z32" s="21">
        <f t="shared" si="11"/>
        <v>40</v>
      </c>
      <c r="AA32" s="21">
        <f t="shared" si="12"/>
        <v>57.256698149420878</v>
      </c>
      <c r="AB32" s="18">
        <f t="shared" si="13"/>
        <v>48.668193427007743</v>
      </c>
      <c r="AC32" s="18">
        <f t="shared" si="14"/>
        <v>54.39386324194983</v>
      </c>
      <c r="AD32" s="18">
        <f t="shared" si="15"/>
        <v>56.648907307216092</v>
      </c>
      <c r="AE32" s="18">
        <f t="shared" si="16"/>
        <v>50.685864432772298</v>
      </c>
      <c r="AF32" s="78"/>
    </row>
    <row r="33" spans="1:32" x14ac:dyDescent="0.2">
      <c r="A33" s="10"/>
      <c r="B33" s="26"/>
      <c r="C33" s="26"/>
      <c r="D33" s="26"/>
      <c r="E33" s="81"/>
      <c r="F33" s="81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81"/>
      <c r="Y33" s="82"/>
      <c r="Z33" s="27"/>
      <c r="AA33" s="27"/>
      <c r="AB33" s="27"/>
      <c r="AC33" s="27"/>
      <c r="AD33" s="27"/>
      <c r="AE33" s="27"/>
      <c r="AF33" s="30"/>
    </row>
    <row r="34" spans="1:32" x14ac:dyDescent="0.2">
      <c r="A34" s="10" t="s">
        <v>98</v>
      </c>
      <c r="B34" s="10" t="s">
        <v>99</v>
      </c>
      <c r="C34" s="10" t="s">
        <v>96</v>
      </c>
      <c r="D34" s="10" t="s">
        <v>100</v>
      </c>
      <c r="E34" s="6">
        <v>2.4000000953674316</v>
      </c>
      <c r="F34" s="6">
        <f>F32+E34</f>
        <v>48.349999732971185</v>
      </c>
      <c r="G34" s="1" t="s">
        <v>97</v>
      </c>
      <c r="H34" s="1" t="s">
        <v>101</v>
      </c>
      <c r="I34" s="17">
        <f t="shared" ref="I34:I42" si="20">E34</f>
        <v>2.4000000953674316</v>
      </c>
      <c r="J34" s="17">
        <f t="shared" si="17"/>
        <v>9.5367431729442842E-8</v>
      </c>
      <c r="P34" s="2">
        <f>2.4-0.6</f>
        <v>1.7999999999999998</v>
      </c>
      <c r="Q34" s="2">
        <v>0.6</v>
      </c>
      <c r="W34" s="17">
        <f t="shared" ref="W34:W42" si="21">(J34/J$1+K34/K$1+L34/L$1+M34/M$1+N34/N$1+O34/O$1+P34/P$1+Q34/Q$1+R34/R$1+S34/S$1+T34/T$1+U34/U$1+V34/V$1)*60</f>
        <v>3.9000000572204594</v>
      </c>
      <c r="X34" s="6">
        <f>X32+W34</f>
        <v>52.051571268354138</v>
      </c>
      <c r="Y34" s="72"/>
      <c r="Z34" s="21">
        <f t="shared" ref="Z34:Z42" si="22">I34/W34*60</f>
        <v>36.92307784853601</v>
      </c>
      <c r="AA34" s="21">
        <f t="shared" ref="AA34:AA42" si="23">F34/X34*60</f>
        <v>55.733187553974872</v>
      </c>
      <c r="AB34" s="18">
        <f t="shared" ref="AB34:AB42" si="24">AA34*0.85</f>
        <v>47.373209420878638</v>
      </c>
      <c r="AC34" s="18">
        <f t="shared" ref="AC34:AC42" si="25">AA34*0.95</f>
        <v>52.946528176276125</v>
      </c>
      <c r="AD34" s="18">
        <f t="shared" ref="AD34:AD42" si="26">$F34/AB34*60</f>
        <v>61.237142668651934</v>
      </c>
      <c r="AE34" s="18">
        <f t="shared" ref="AE34:AE42" si="27">$F34/AC34*60</f>
        <v>54.791127650899099</v>
      </c>
    </row>
    <row r="35" spans="1:32" x14ac:dyDescent="0.2">
      <c r="A35" s="10" t="s">
        <v>98</v>
      </c>
      <c r="B35" s="10" t="s">
        <v>102</v>
      </c>
      <c r="C35" s="10" t="s">
        <v>100</v>
      </c>
      <c r="D35" s="10" t="s">
        <v>103</v>
      </c>
      <c r="E35" s="6">
        <v>1.64</v>
      </c>
      <c r="F35" s="6">
        <f>F34+E35</f>
        <v>49.989999732971185</v>
      </c>
      <c r="G35" s="1" t="s">
        <v>101</v>
      </c>
      <c r="H35" s="1" t="s">
        <v>104</v>
      </c>
      <c r="I35" s="17">
        <f t="shared" si="20"/>
        <v>1.64</v>
      </c>
      <c r="J35" s="17">
        <f t="shared" si="17"/>
        <v>0</v>
      </c>
      <c r="O35" s="2">
        <v>0.82</v>
      </c>
      <c r="P35" s="2">
        <v>0.82</v>
      </c>
      <c r="W35" s="17">
        <f t="shared" si="21"/>
        <v>2.2139999999999995</v>
      </c>
      <c r="X35" s="6">
        <f>X34+W35</f>
        <v>54.265571268354137</v>
      </c>
      <c r="Y35" s="72"/>
      <c r="Z35" s="21">
        <f t="shared" si="22"/>
        <v>44.44444444444445</v>
      </c>
      <c r="AA35" s="21">
        <f t="shared" si="23"/>
        <v>55.272614180096554</v>
      </c>
      <c r="AB35" s="18">
        <f t="shared" si="24"/>
        <v>46.981722053082066</v>
      </c>
      <c r="AC35" s="18">
        <f t="shared" si="25"/>
        <v>52.508983471091724</v>
      </c>
      <c r="AD35" s="18">
        <f t="shared" si="26"/>
        <v>63.841848551004873</v>
      </c>
      <c r="AE35" s="18">
        <f t="shared" si="27"/>
        <v>57.121653966688569</v>
      </c>
    </row>
    <row r="36" spans="1:32" x14ac:dyDescent="0.2">
      <c r="A36" s="11" t="s">
        <v>98</v>
      </c>
      <c r="B36" s="11" t="s">
        <v>105</v>
      </c>
      <c r="C36" s="11" t="s">
        <v>103</v>
      </c>
      <c r="D36" s="11" t="s">
        <v>106</v>
      </c>
      <c r="E36" s="7">
        <v>5.01</v>
      </c>
      <c r="F36" s="7">
        <f>F35+E36</f>
        <v>54.999999732971183</v>
      </c>
      <c r="G36" s="3" t="s">
        <v>104</v>
      </c>
      <c r="H36" s="3" t="s">
        <v>107</v>
      </c>
      <c r="I36" s="22">
        <f t="shared" si="20"/>
        <v>5.01</v>
      </c>
      <c r="J36" s="22">
        <f t="shared" si="17"/>
        <v>0</v>
      </c>
      <c r="K36" s="23"/>
      <c r="L36" s="23"/>
      <c r="M36" s="23"/>
      <c r="N36" s="23"/>
      <c r="O36" s="23"/>
      <c r="P36" s="23"/>
      <c r="Q36" s="23">
        <v>2.5099999999999998</v>
      </c>
      <c r="R36" s="23">
        <v>2.5</v>
      </c>
      <c r="S36" s="23"/>
      <c r="T36" s="23"/>
      <c r="U36" s="23"/>
      <c r="V36" s="23"/>
      <c r="W36" s="22">
        <f t="shared" si="21"/>
        <v>11.02</v>
      </c>
      <c r="X36" s="7">
        <f>X35+W36</f>
        <v>65.285571268354133</v>
      </c>
      <c r="Y36" s="73"/>
      <c r="Z36" s="24">
        <f t="shared" si="22"/>
        <v>27.277676950998185</v>
      </c>
      <c r="AA36" s="24">
        <f t="shared" si="23"/>
        <v>50.547156436967256</v>
      </c>
      <c r="AB36" s="25">
        <f t="shared" si="24"/>
        <v>42.96508297142217</v>
      </c>
      <c r="AC36" s="25">
        <f t="shared" si="25"/>
        <v>48.019798615118894</v>
      </c>
      <c r="AD36" s="25">
        <f t="shared" si="26"/>
        <v>76.806554433357803</v>
      </c>
      <c r="AE36" s="25">
        <f t="shared" si="27"/>
        <v>68.72165396668855</v>
      </c>
    </row>
    <row r="37" spans="1:32" x14ac:dyDescent="0.2">
      <c r="A37" s="11" t="s">
        <v>98</v>
      </c>
      <c r="B37" s="11" t="s">
        <v>108</v>
      </c>
      <c r="C37" s="11" t="s">
        <v>106</v>
      </c>
      <c r="D37" s="11" t="s">
        <v>109</v>
      </c>
      <c r="E37" s="7">
        <v>5.8</v>
      </c>
      <c r="F37" s="7">
        <f>F36+E37</f>
        <v>60.79999973297118</v>
      </c>
      <c r="G37" s="3" t="s">
        <v>107</v>
      </c>
      <c r="H37" s="3" t="s">
        <v>110</v>
      </c>
      <c r="I37" s="22">
        <f t="shared" si="20"/>
        <v>5.8</v>
      </c>
      <c r="J37" s="22">
        <f t="shared" si="17"/>
        <v>0</v>
      </c>
      <c r="K37" s="23"/>
      <c r="L37" s="23"/>
      <c r="M37" s="23"/>
      <c r="N37" s="23"/>
      <c r="O37" s="23"/>
      <c r="P37" s="23">
        <v>1.55</v>
      </c>
      <c r="Q37" s="23">
        <f>2.85+1.4</f>
        <v>4.25</v>
      </c>
      <c r="R37" s="23"/>
      <c r="S37" s="23"/>
      <c r="T37" s="23"/>
      <c r="U37" s="23"/>
      <c r="V37" s="23"/>
      <c r="W37" s="22">
        <f t="shared" si="21"/>
        <v>10.824999999999999</v>
      </c>
      <c r="X37" s="7">
        <f>X36+W37</f>
        <v>76.110571268354136</v>
      </c>
      <c r="Y37" s="73"/>
      <c r="Z37" s="24">
        <f t="shared" si="22"/>
        <v>32.147806004618936</v>
      </c>
      <c r="AA37" s="24">
        <f t="shared" si="23"/>
        <v>47.930266757767264</v>
      </c>
      <c r="AB37" s="25">
        <f t="shared" si="24"/>
        <v>40.740726744102176</v>
      </c>
      <c r="AC37" s="25">
        <f t="shared" si="25"/>
        <v>45.533753419878899</v>
      </c>
      <c r="AD37" s="25">
        <f t="shared" si="26"/>
        <v>89.541848551004861</v>
      </c>
      <c r="AE37" s="25">
        <f t="shared" si="27"/>
        <v>80.116390808793838</v>
      </c>
    </row>
    <row r="38" spans="1:32" x14ac:dyDescent="0.2">
      <c r="A38" s="10" t="s">
        <v>98</v>
      </c>
      <c r="B38" s="10" t="s">
        <v>111</v>
      </c>
      <c r="C38" s="10" t="s">
        <v>103</v>
      </c>
      <c r="D38" s="10" t="s">
        <v>112</v>
      </c>
      <c r="E38" s="6">
        <v>5.42</v>
      </c>
      <c r="F38" s="6">
        <f>F35+E38</f>
        <v>55.409999732971187</v>
      </c>
      <c r="G38" s="1" t="s">
        <v>104</v>
      </c>
      <c r="H38" s="1" t="s">
        <v>113</v>
      </c>
      <c r="I38" s="17">
        <f t="shared" si="20"/>
        <v>5.42</v>
      </c>
      <c r="J38" s="17">
        <f t="shared" si="17"/>
        <v>0</v>
      </c>
      <c r="O38" s="2">
        <v>5.42</v>
      </c>
      <c r="W38" s="17">
        <f t="shared" si="21"/>
        <v>6.5039999999999996</v>
      </c>
      <c r="X38" s="6">
        <f>X35+W38</f>
        <v>60.769571268354134</v>
      </c>
      <c r="Y38" s="72"/>
      <c r="Z38" s="21">
        <f t="shared" si="22"/>
        <v>50</v>
      </c>
      <c r="AA38" s="21">
        <f t="shared" si="23"/>
        <v>54.708300792465238</v>
      </c>
      <c r="AB38" s="18">
        <f t="shared" si="24"/>
        <v>46.50205567359545</v>
      </c>
      <c r="AC38" s="18">
        <f t="shared" si="25"/>
        <v>51.972885752841975</v>
      </c>
      <c r="AD38" s="18">
        <f t="shared" si="26"/>
        <v>71.49361325688723</v>
      </c>
      <c r="AE38" s="18">
        <f t="shared" si="27"/>
        <v>63.967969756162248</v>
      </c>
    </row>
    <row r="39" spans="1:32" x14ac:dyDescent="0.2">
      <c r="A39" s="10" t="s">
        <v>98</v>
      </c>
      <c r="B39" s="10" t="s">
        <v>114</v>
      </c>
      <c r="C39" s="10" t="s">
        <v>112</v>
      </c>
      <c r="D39" s="10" t="s">
        <v>115</v>
      </c>
      <c r="E39" s="6">
        <v>4.1100000000000003</v>
      </c>
      <c r="F39" s="6">
        <f>F38+E39</f>
        <v>59.519999732971186</v>
      </c>
      <c r="G39" s="1" t="s">
        <v>113</v>
      </c>
      <c r="H39" s="1" t="s">
        <v>116</v>
      </c>
      <c r="I39" s="17">
        <f t="shared" si="20"/>
        <v>4.1100000000000003</v>
      </c>
      <c r="J39" s="17">
        <f t="shared" si="17"/>
        <v>0</v>
      </c>
      <c r="N39" s="2">
        <v>4.1100000000000003</v>
      </c>
      <c r="W39" s="17">
        <f t="shared" si="21"/>
        <v>4.1100000000000003</v>
      </c>
      <c r="X39" s="6">
        <f>X38+W39</f>
        <v>64.879571268354141</v>
      </c>
      <c r="Y39" s="72"/>
      <c r="Z39" s="21">
        <f t="shared" si="22"/>
        <v>60</v>
      </c>
      <c r="AA39" s="21">
        <f t="shared" si="23"/>
        <v>55.043520081338308</v>
      </c>
      <c r="AB39" s="18">
        <f t="shared" si="24"/>
        <v>46.786992069137561</v>
      </c>
      <c r="AC39" s="18">
        <f t="shared" si="25"/>
        <v>52.29134407727139</v>
      </c>
      <c r="AD39" s="18">
        <f t="shared" si="26"/>
        <v>76.328907374534282</v>
      </c>
      <c r="AE39" s="18">
        <f t="shared" si="27"/>
        <v>68.294285545635944</v>
      </c>
    </row>
    <row r="40" spans="1:32" x14ac:dyDescent="0.2">
      <c r="A40" s="10" t="s">
        <v>98</v>
      </c>
      <c r="B40" s="10" t="s">
        <v>117</v>
      </c>
      <c r="C40" s="10" t="s">
        <v>115</v>
      </c>
      <c r="D40" s="10" t="s">
        <v>118</v>
      </c>
      <c r="E40" s="6">
        <v>0.4699999988079071</v>
      </c>
      <c r="F40" s="6">
        <f>F39+E40</f>
        <v>59.989999731779093</v>
      </c>
      <c r="G40" s="1" t="s">
        <v>116</v>
      </c>
      <c r="H40" s="1" t="s">
        <v>119</v>
      </c>
      <c r="I40" s="17">
        <f t="shared" si="20"/>
        <v>0.4699999988079071</v>
      </c>
      <c r="J40" s="17">
        <f t="shared" si="17"/>
        <v>-1.1920928688624599E-9</v>
      </c>
      <c r="P40" s="2">
        <v>0.47</v>
      </c>
      <c r="W40" s="17">
        <f t="shared" si="21"/>
        <v>0.70499999928474422</v>
      </c>
      <c r="X40" s="6">
        <f>X39+W40</f>
        <v>65.584571267638879</v>
      </c>
      <c r="Y40" s="72"/>
      <c r="Z40" s="21">
        <f t="shared" si="22"/>
        <v>39.999999939127171</v>
      </c>
      <c r="AA40" s="21">
        <f t="shared" si="23"/>
        <v>54.881810071125408</v>
      </c>
      <c r="AB40" s="18">
        <f t="shared" si="24"/>
        <v>46.649538560456598</v>
      </c>
      <c r="AC40" s="18">
        <f t="shared" si="25"/>
        <v>52.137719567569135</v>
      </c>
      <c r="AD40" s="18">
        <f t="shared" si="26"/>
        <v>77.158319138398682</v>
      </c>
      <c r="AE40" s="18">
        <f t="shared" si="27"/>
        <v>69.036390808040935</v>
      </c>
    </row>
    <row r="41" spans="1:32" x14ac:dyDescent="0.2">
      <c r="A41" s="11" t="s">
        <v>98</v>
      </c>
      <c r="B41" s="11" t="s">
        <v>120</v>
      </c>
      <c r="C41" s="13" t="s">
        <v>118</v>
      </c>
      <c r="D41" s="11" t="s">
        <v>121</v>
      </c>
      <c r="E41" s="7">
        <v>6.5</v>
      </c>
      <c r="F41" s="7">
        <f>F40+E41</f>
        <v>66.489999731779093</v>
      </c>
      <c r="G41" s="3" t="s">
        <v>119</v>
      </c>
      <c r="H41" s="3" t="s">
        <v>122</v>
      </c>
      <c r="I41" s="22">
        <f t="shared" si="20"/>
        <v>6.5</v>
      </c>
      <c r="J41" s="22">
        <f t="shared" si="17"/>
        <v>0</v>
      </c>
      <c r="K41" s="23"/>
      <c r="L41" s="23"/>
      <c r="M41" s="23"/>
      <c r="N41" s="23"/>
      <c r="O41" s="23"/>
      <c r="P41" s="23">
        <v>3.25</v>
      </c>
      <c r="Q41" s="23">
        <v>3.25</v>
      </c>
      <c r="R41" s="23"/>
      <c r="S41" s="23"/>
      <c r="T41" s="23"/>
      <c r="U41" s="23"/>
      <c r="V41" s="23"/>
      <c r="W41" s="22">
        <f t="shared" si="21"/>
        <v>11.375</v>
      </c>
      <c r="X41" s="7">
        <f>X40+W41</f>
        <v>76.959571267638879</v>
      </c>
      <c r="Y41" s="73"/>
      <c r="Z41" s="24">
        <f t="shared" si="22"/>
        <v>34.285714285714285</v>
      </c>
      <c r="AA41" s="24">
        <f t="shared" si="23"/>
        <v>51.837606657565523</v>
      </c>
      <c r="AB41" s="25">
        <f t="shared" si="24"/>
        <v>44.061965658930696</v>
      </c>
      <c r="AC41" s="25">
        <f t="shared" si="25"/>
        <v>49.245726324687247</v>
      </c>
      <c r="AD41" s="25">
        <f t="shared" si="26"/>
        <v>90.540672079575145</v>
      </c>
      <c r="AE41" s="25">
        <f t="shared" si="27"/>
        <v>81.01007501856725</v>
      </c>
    </row>
    <row r="42" spans="1:32" x14ac:dyDescent="0.2">
      <c r="A42" s="10" t="s">
        <v>98</v>
      </c>
      <c r="B42" s="10" t="s">
        <v>123</v>
      </c>
      <c r="C42" s="10" t="s">
        <v>118</v>
      </c>
      <c r="D42" s="10" t="s">
        <v>124</v>
      </c>
      <c r="E42" s="6">
        <v>8.58</v>
      </c>
      <c r="F42" s="6">
        <f>F40+E42</f>
        <v>68.569999731779092</v>
      </c>
      <c r="G42" s="1" t="s">
        <v>119</v>
      </c>
      <c r="H42" s="1" t="s">
        <v>125</v>
      </c>
      <c r="I42" s="17">
        <f t="shared" si="20"/>
        <v>8.58</v>
      </c>
      <c r="J42" s="17">
        <f t="shared" si="17"/>
        <v>0</v>
      </c>
      <c r="O42" s="2">
        <v>4.29</v>
      </c>
      <c r="P42" s="2">
        <v>4.29</v>
      </c>
      <c r="W42" s="17">
        <f t="shared" si="21"/>
        <v>11.583</v>
      </c>
      <c r="X42" s="6">
        <f>X40+W42</f>
        <v>77.167571267638877</v>
      </c>
      <c r="Y42" s="72"/>
      <c r="Z42" s="21">
        <f t="shared" si="22"/>
        <v>44.444444444444443</v>
      </c>
      <c r="AA42" s="21">
        <f t="shared" si="23"/>
        <v>53.315141533190683</v>
      </c>
      <c r="AB42" s="18">
        <f t="shared" si="24"/>
        <v>45.317870303212082</v>
      </c>
      <c r="AC42" s="18">
        <f t="shared" si="25"/>
        <v>50.649384456531145</v>
      </c>
      <c r="AD42" s="18">
        <f t="shared" si="26"/>
        <v>90.785377961928091</v>
      </c>
      <c r="AE42" s="18">
        <f t="shared" si="27"/>
        <v>81.229022386988305</v>
      </c>
    </row>
    <row r="43" spans="1:32" x14ac:dyDescent="0.2">
      <c r="A43" s="10"/>
      <c r="B43" s="10"/>
      <c r="C43" s="10"/>
      <c r="D43" s="10"/>
      <c r="E43" s="6"/>
      <c r="F43" s="6"/>
      <c r="G43" s="1"/>
      <c r="H43" s="1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6"/>
      <c r="Y43" s="72"/>
      <c r="Z43" s="27"/>
      <c r="AA43" s="27"/>
      <c r="AB43" s="27"/>
      <c r="AC43" s="27"/>
      <c r="AD43" s="27"/>
      <c r="AE43" s="27"/>
    </row>
    <row r="44" spans="1:32" x14ac:dyDescent="0.2">
      <c r="A44" s="10" t="s">
        <v>126</v>
      </c>
      <c r="B44" s="10" t="s">
        <v>127</v>
      </c>
      <c r="C44" s="10" t="s">
        <v>96</v>
      </c>
      <c r="D44" s="10" t="s">
        <v>128</v>
      </c>
      <c r="E44" s="6">
        <v>10.23</v>
      </c>
      <c r="F44" s="6">
        <f>F32+E44</f>
        <v>56.179999637603757</v>
      </c>
      <c r="G44" s="1" t="s">
        <v>97</v>
      </c>
      <c r="H44" s="1" t="s">
        <v>129</v>
      </c>
      <c r="I44" s="17">
        <f t="shared" ref="I44:I60" si="28">E44</f>
        <v>10.23</v>
      </c>
      <c r="J44" s="17">
        <v>0</v>
      </c>
      <c r="P44" s="2">
        <v>10.23</v>
      </c>
      <c r="W44" s="17">
        <f t="shared" ref="W44:W58" si="29">(J44/J$1+K44/K$1+L44/L$1+M44/M$1+N44/N$1+O44/O$1+P44/P$1+Q44/Q$1+R44/R$1+S44/S$1+T44/T$1+U44/U$1+V44/V$1)*60</f>
        <v>15.345000000000002</v>
      </c>
      <c r="X44" s="6">
        <f>X32+W44</f>
        <v>63.496571211133684</v>
      </c>
      <c r="Y44" s="84"/>
      <c r="Z44" s="21">
        <f t="shared" ref="Z44:Z61" si="30">I44/W44*60</f>
        <v>40</v>
      </c>
      <c r="AA44" s="21">
        <f t="shared" ref="AA44:AA61" si="31">F44/X44*60</f>
        <v>53.086330709856959</v>
      </c>
      <c r="AB44" s="18">
        <f t="shared" ref="AB44:AB61" si="32">AA44*0.85</f>
        <v>45.123381103378414</v>
      </c>
      <c r="AC44" s="18">
        <f t="shared" ref="AC44:AC61" si="33">AA44*0.95</f>
        <v>50.432014174364106</v>
      </c>
      <c r="AD44" s="18">
        <f t="shared" ref="AD44:AD61" si="34">$F44/AB44*60</f>
        <v>74.701848483686703</v>
      </c>
      <c r="AE44" s="18">
        <f t="shared" ref="AE44:AE61" si="35">$F44/AC44*60</f>
        <v>66.838496011719684</v>
      </c>
    </row>
    <row r="45" spans="1:32" x14ac:dyDescent="0.2">
      <c r="A45" s="11" t="s">
        <v>126</v>
      </c>
      <c r="B45" s="11" t="s">
        <v>130</v>
      </c>
      <c r="C45" s="11" t="s">
        <v>128</v>
      </c>
      <c r="D45" s="11" t="s">
        <v>131</v>
      </c>
      <c r="E45" s="7">
        <v>4.0599999999999996</v>
      </c>
      <c r="F45" s="7">
        <f>F44+E45</f>
        <v>60.239999637603759</v>
      </c>
      <c r="G45" s="3" t="s">
        <v>129</v>
      </c>
      <c r="H45" s="3" t="s">
        <v>132</v>
      </c>
      <c r="I45" s="22">
        <f t="shared" si="28"/>
        <v>4.0599999999999996</v>
      </c>
      <c r="J45" s="22">
        <f>I45-SUM(K45:V45)</f>
        <v>0</v>
      </c>
      <c r="K45" s="23"/>
      <c r="L45" s="23"/>
      <c r="M45" s="23"/>
      <c r="N45" s="23"/>
      <c r="O45" s="23">
        <v>0.91</v>
      </c>
      <c r="P45" s="23">
        <v>1</v>
      </c>
      <c r="Q45" s="23">
        <v>2.15</v>
      </c>
      <c r="R45" s="23"/>
      <c r="S45" s="23"/>
      <c r="T45" s="23"/>
      <c r="U45" s="23"/>
      <c r="V45" s="23"/>
      <c r="W45" s="22">
        <f t="shared" si="29"/>
        <v>6.8920000000000003</v>
      </c>
      <c r="X45" s="7">
        <f>X44+W45</f>
        <v>70.38857121113368</v>
      </c>
      <c r="Y45" s="73"/>
      <c r="Z45" s="24">
        <f t="shared" si="30"/>
        <v>35.345327916424836</v>
      </c>
      <c r="AA45" s="24">
        <f t="shared" si="31"/>
        <v>51.349244857019052</v>
      </c>
      <c r="AB45" s="25">
        <f t="shared" si="32"/>
        <v>43.646858128466192</v>
      </c>
      <c r="AC45" s="25">
        <f t="shared" si="33"/>
        <v>48.781782614168094</v>
      </c>
      <c r="AD45" s="25">
        <f t="shared" si="34"/>
        <v>82.810083777804337</v>
      </c>
      <c r="AE45" s="25">
        <f t="shared" si="35"/>
        <v>74.093232853824944</v>
      </c>
    </row>
    <row r="46" spans="1:32" x14ac:dyDescent="0.2">
      <c r="A46" s="11" t="s">
        <v>126</v>
      </c>
      <c r="B46" s="11" t="s">
        <v>133</v>
      </c>
      <c r="C46" s="11" t="s">
        <v>131</v>
      </c>
      <c r="D46" s="11" t="s">
        <v>134</v>
      </c>
      <c r="E46" s="7">
        <v>5.35</v>
      </c>
      <c r="F46" s="7">
        <f>F45+E46</f>
        <v>65.589999637603754</v>
      </c>
      <c r="G46" s="3" t="s">
        <v>132</v>
      </c>
      <c r="H46" s="3" t="s">
        <v>135</v>
      </c>
      <c r="I46" s="22">
        <f t="shared" si="28"/>
        <v>5.35</v>
      </c>
      <c r="J46" s="22">
        <f>I46-SUM(K46:V46)</f>
        <v>0</v>
      </c>
      <c r="K46" s="23"/>
      <c r="L46" s="23"/>
      <c r="M46" s="23"/>
      <c r="N46" s="23"/>
      <c r="O46" s="23"/>
      <c r="P46" s="23">
        <v>1.1299999999999999</v>
      </c>
      <c r="Q46" s="23">
        <f>1.3+1.6</f>
        <v>2.9000000000000004</v>
      </c>
      <c r="R46" s="23">
        <v>1.32</v>
      </c>
      <c r="S46" s="23"/>
      <c r="T46" s="23"/>
      <c r="U46" s="23"/>
      <c r="V46" s="23"/>
      <c r="W46" s="22">
        <f t="shared" si="29"/>
        <v>10.663000000000002</v>
      </c>
      <c r="X46" s="7">
        <f>X45+W46</f>
        <v>81.051571211133677</v>
      </c>
      <c r="Y46" s="73"/>
      <c r="Z46" s="24">
        <f t="shared" si="30"/>
        <v>30.104098283785046</v>
      </c>
      <c r="AA46" s="24">
        <f t="shared" si="31"/>
        <v>48.554271304683084</v>
      </c>
      <c r="AB46" s="25">
        <f t="shared" si="32"/>
        <v>41.27113060898062</v>
      </c>
      <c r="AC46" s="25">
        <f t="shared" si="33"/>
        <v>46.126557739448927</v>
      </c>
      <c r="AD46" s="25">
        <f t="shared" si="34"/>
        <v>95.354789660157266</v>
      </c>
      <c r="AE46" s="25">
        <f t="shared" si="35"/>
        <v>85.317443380140716</v>
      </c>
    </row>
    <row r="47" spans="1:32" x14ac:dyDescent="0.2">
      <c r="A47" s="11" t="s">
        <v>126</v>
      </c>
      <c r="B47" s="11" t="s">
        <v>136</v>
      </c>
      <c r="C47" s="11" t="s">
        <v>134</v>
      </c>
      <c r="D47" s="11" t="s">
        <v>137</v>
      </c>
      <c r="E47" s="7">
        <v>7</v>
      </c>
      <c r="F47" s="7">
        <f>F46+E47</f>
        <v>72.589999637603754</v>
      </c>
      <c r="G47" s="3" t="s">
        <v>135</v>
      </c>
      <c r="H47" s="3" t="s">
        <v>138</v>
      </c>
      <c r="I47" s="22">
        <f t="shared" si="28"/>
        <v>7</v>
      </c>
      <c r="J47" s="22">
        <f>I47-SUM(K47:V47)</f>
        <v>0</v>
      </c>
      <c r="K47" s="23"/>
      <c r="L47" s="23"/>
      <c r="M47" s="23"/>
      <c r="N47" s="23"/>
      <c r="O47" s="23"/>
      <c r="P47" s="23">
        <v>5.63</v>
      </c>
      <c r="Q47" s="23">
        <f>0.1+0.2+0.5-0.03</f>
        <v>0.77</v>
      </c>
      <c r="R47" s="23">
        <f>0.4+0.2</f>
        <v>0.60000000000000009</v>
      </c>
      <c r="S47" s="23"/>
      <c r="T47" s="23"/>
      <c r="U47" s="23"/>
      <c r="V47" s="23"/>
      <c r="W47" s="22">
        <f t="shared" si="29"/>
        <v>11.424999999999999</v>
      </c>
      <c r="X47" s="7">
        <f>X46+W47</f>
        <v>92.476571211133674</v>
      </c>
      <c r="Y47" s="73"/>
      <c r="Z47" s="24">
        <f t="shared" si="30"/>
        <v>36.761487964989065</v>
      </c>
      <c r="AA47" s="24">
        <f t="shared" si="31"/>
        <v>47.097334181134286</v>
      </c>
      <c r="AB47" s="25">
        <f t="shared" si="32"/>
        <v>40.032734053964141</v>
      </c>
      <c r="AC47" s="25">
        <f t="shared" si="33"/>
        <v>44.742467472077571</v>
      </c>
      <c r="AD47" s="25">
        <f t="shared" si="34"/>
        <v>108.79596613074551</v>
      </c>
      <c r="AE47" s="25">
        <f t="shared" si="35"/>
        <v>97.343759169614401</v>
      </c>
    </row>
    <row r="48" spans="1:32" x14ac:dyDescent="0.2">
      <c r="A48" s="10" t="s">
        <v>126</v>
      </c>
      <c r="B48" s="10" t="s">
        <v>139</v>
      </c>
      <c r="C48" s="10" t="s">
        <v>128</v>
      </c>
      <c r="D48" s="10" t="s">
        <v>140</v>
      </c>
      <c r="E48" s="6">
        <v>9.9</v>
      </c>
      <c r="F48" s="6">
        <f>F44+E48</f>
        <v>66.079999637603763</v>
      </c>
      <c r="G48" s="1" t="s">
        <v>129</v>
      </c>
      <c r="H48" s="1" t="s">
        <v>141</v>
      </c>
      <c r="I48" s="17">
        <f t="shared" si="28"/>
        <v>9.9</v>
      </c>
      <c r="J48" s="17">
        <f t="shared" ref="J48:J70" si="36">I48-SUM(K48:V48)</f>
        <v>0</v>
      </c>
      <c r="P48" s="2">
        <v>9.9</v>
      </c>
      <c r="W48" s="17">
        <f t="shared" si="29"/>
        <v>14.85</v>
      </c>
      <c r="X48" s="6">
        <f>X44+W48</f>
        <v>78.346571211133679</v>
      </c>
      <c r="Y48" s="72"/>
      <c r="Z48" s="21">
        <f t="shared" si="30"/>
        <v>40.000000000000007</v>
      </c>
      <c r="AA48" s="21">
        <f t="shared" si="31"/>
        <v>50.605915702061964</v>
      </c>
      <c r="AB48" s="18">
        <f t="shared" si="32"/>
        <v>43.015028346752665</v>
      </c>
      <c r="AC48" s="18">
        <f t="shared" si="33"/>
        <v>48.075619916958864</v>
      </c>
      <c r="AD48" s="18">
        <f t="shared" si="34"/>
        <v>92.172436718980805</v>
      </c>
      <c r="AE48" s="18">
        <f t="shared" si="35"/>
        <v>82.47007495908808</v>
      </c>
    </row>
    <row r="49" spans="1:31" x14ac:dyDescent="0.2">
      <c r="A49" s="10" t="s">
        <v>126</v>
      </c>
      <c r="B49" s="10" t="s">
        <v>142</v>
      </c>
      <c r="C49" s="10" t="s">
        <v>140</v>
      </c>
      <c r="D49" s="10" t="s">
        <v>143</v>
      </c>
      <c r="E49" s="6">
        <v>2.5099999999999998</v>
      </c>
      <c r="F49" s="6">
        <f t="shared" ref="F49:F56" si="37">F48+E49</f>
        <v>68.589999637603768</v>
      </c>
      <c r="G49" s="1" t="s">
        <v>141</v>
      </c>
      <c r="H49" s="1" t="s">
        <v>144</v>
      </c>
      <c r="I49" s="17">
        <f t="shared" si="28"/>
        <v>2.5099999999999998</v>
      </c>
      <c r="J49" s="17">
        <f t="shared" si="36"/>
        <v>0</v>
      </c>
      <c r="P49" s="2">
        <v>2.5099999999999998</v>
      </c>
      <c r="W49" s="17">
        <f t="shared" si="29"/>
        <v>3.7650000000000001</v>
      </c>
      <c r="X49" s="6">
        <f t="shared" ref="X49:X56" si="38">X48+W49</f>
        <v>82.111571211133679</v>
      </c>
      <c r="Y49" s="72"/>
      <c r="Z49" s="21">
        <f t="shared" si="30"/>
        <v>40</v>
      </c>
      <c r="AA49" s="21">
        <f t="shared" si="31"/>
        <v>50.119610641407505</v>
      </c>
      <c r="AB49" s="18">
        <f t="shared" si="32"/>
        <v>42.601669045196381</v>
      </c>
      <c r="AC49" s="18">
        <f t="shared" si="33"/>
        <v>47.61363010933713</v>
      </c>
      <c r="AD49" s="18">
        <f t="shared" si="34"/>
        <v>96.60184848368668</v>
      </c>
      <c r="AE49" s="18">
        <f t="shared" si="35"/>
        <v>86.433232853824933</v>
      </c>
    </row>
    <row r="50" spans="1:31" x14ac:dyDescent="0.2">
      <c r="A50" s="10" t="s">
        <v>126</v>
      </c>
      <c r="B50" s="10" t="s">
        <v>145</v>
      </c>
      <c r="C50" s="10" t="s">
        <v>143</v>
      </c>
      <c r="D50" s="10" t="s">
        <v>146</v>
      </c>
      <c r="E50" s="6">
        <v>2.21</v>
      </c>
      <c r="F50" s="6">
        <f t="shared" si="37"/>
        <v>70.799999637603761</v>
      </c>
      <c r="G50" s="1" t="s">
        <v>144</v>
      </c>
      <c r="H50" s="1" t="s">
        <v>147</v>
      </c>
      <c r="I50" s="17">
        <f t="shared" si="28"/>
        <v>2.21</v>
      </c>
      <c r="J50" s="17">
        <f t="shared" si="36"/>
        <v>0</v>
      </c>
      <c r="P50" s="2">
        <v>2.21</v>
      </c>
      <c r="S50" s="18"/>
      <c r="W50" s="17">
        <f t="shared" si="29"/>
        <v>3.3149999999999999</v>
      </c>
      <c r="X50" s="6">
        <f t="shared" si="38"/>
        <v>85.426571211133677</v>
      </c>
      <c r="Y50" s="72"/>
      <c r="Z50" s="21">
        <f t="shared" si="30"/>
        <v>40</v>
      </c>
      <c r="AA50" s="21">
        <f t="shared" si="31"/>
        <v>49.726916555707227</v>
      </c>
      <c r="AB50" s="18">
        <f t="shared" si="32"/>
        <v>42.267879072351143</v>
      </c>
      <c r="AC50" s="18">
        <f t="shared" si="33"/>
        <v>47.240570727921863</v>
      </c>
      <c r="AD50" s="18">
        <f t="shared" si="34"/>
        <v>100.50184848368669</v>
      </c>
      <c r="AE50" s="18">
        <f t="shared" si="35"/>
        <v>89.922706538035456</v>
      </c>
    </row>
    <row r="51" spans="1:31" x14ac:dyDescent="0.2">
      <c r="A51" s="10" t="s">
        <v>126</v>
      </c>
      <c r="B51" s="10" t="s">
        <v>148</v>
      </c>
      <c r="C51" s="10" t="s">
        <v>146</v>
      </c>
      <c r="D51" s="10" t="s">
        <v>149</v>
      </c>
      <c r="E51" s="6">
        <v>1.51</v>
      </c>
      <c r="F51" s="6">
        <f t="shared" si="37"/>
        <v>72.309999637603767</v>
      </c>
      <c r="G51" s="1" t="s">
        <v>147</v>
      </c>
      <c r="H51" s="1" t="s">
        <v>150</v>
      </c>
      <c r="I51" s="17">
        <f t="shared" si="28"/>
        <v>1.51</v>
      </c>
      <c r="J51" s="17">
        <f t="shared" si="36"/>
        <v>0</v>
      </c>
      <c r="L51" s="17"/>
      <c r="P51" s="2">
        <v>1.51</v>
      </c>
      <c r="W51" s="17">
        <f t="shared" si="29"/>
        <v>2.2650000000000001</v>
      </c>
      <c r="X51" s="6">
        <f t="shared" si="38"/>
        <v>87.691571211133677</v>
      </c>
      <c r="Y51" s="72"/>
      <c r="Z51" s="21">
        <f t="shared" si="30"/>
        <v>40</v>
      </c>
      <c r="AA51" s="21">
        <f t="shared" si="31"/>
        <v>49.475678429917103</v>
      </c>
      <c r="AB51" s="18">
        <f t="shared" si="32"/>
        <v>42.054326665429535</v>
      </c>
      <c r="AC51" s="18">
        <f t="shared" si="33"/>
        <v>47.001894508421245</v>
      </c>
      <c r="AD51" s="18">
        <f t="shared" si="34"/>
        <v>103.16655436603962</v>
      </c>
      <c r="AE51" s="18">
        <f t="shared" si="35"/>
        <v>92.306917064351239</v>
      </c>
    </row>
    <row r="52" spans="1:31" x14ac:dyDescent="0.2">
      <c r="A52" s="10" t="s">
        <v>126</v>
      </c>
      <c r="B52" s="10" t="s">
        <v>151</v>
      </c>
      <c r="C52" s="10" t="s">
        <v>149</v>
      </c>
      <c r="D52" s="10" t="s">
        <v>152</v>
      </c>
      <c r="E52" s="6">
        <v>1.98</v>
      </c>
      <c r="F52" s="6">
        <f t="shared" si="37"/>
        <v>74.289999637603771</v>
      </c>
      <c r="G52" s="1" t="s">
        <v>150</v>
      </c>
      <c r="H52" s="1" t="s">
        <v>153</v>
      </c>
      <c r="I52" s="17">
        <f t="shared" si="28"/>
        <v>1.98</v>
      </c>
      <c r="J52" s="17">
        <f t="shared" si="36"/>
        <v>0</v>
      </c>
      <c r="P52" s="2">
        <v>1.98</v>
      </c>
      <c r="W52" s="17">
        <f t="shared" si="29"/>
        <v>2.97</v>
      </c>
      <c r="X52" s="6">
        <f t="shared" si="38"/>
        <v>90.661571211133676</v>
      </c>
      <c r="Y52" s="72"/>
      <c r="Z52" s="21">
        <f t="shared" si="30"/>
        <v>40</v>
      </c>
      <c r="AA52" s="21">
        <f t="shared" si="31"/>
        <v>49.16526284191329</v>
      </c>
      <c r="AB52" s="18">
        <f t="shared" si="32"/>
        <v>41.790473415626295</v>
      </c>
      <c r="AC52" s="18">
        <f t="shared" si="33"/>
        <v>46.706999699817622</v>
      </c>
      <c r="AD52" s="18">
        <f t="shared" si="34"/>
        <v>106.66067201309845</v>
      </c>
      <c r="AE52" s="18">
        <f t="shared" si="35"/>
        <v>95.433232853824919</v>
      </c>
    </row>
    <row r="53" spans="1:31" x14ac:dyDescent="0.2">
      <c r="A53" s="10" t="s">
        <v>126</v>
      </c>
      <c r="B53" s="10" t="s">
        <v>154</v>
      </c>
      <c r="C53" s="10" t="s">
        <v>152</v>
      </c>
      <c r="D53" s="10" t="s">
        <v>155</v>
      </c>
      <c r="E53" s="6">
        <v>5.07</v>
      </c>
      <c r="F53" s="6">
        <f t="shared" si="37"/>
        <v>79.359999637603778</v>
      </c>
      <c r="G53" s="1" t="s">
        <v>153</v>
      </c>
      <c r="H53" s="1" t="s">
        <v>156</v>
      </c>
      <c r="I53" s="17">
        <f t="shared" si="28"/>
        <v>5.07</v>
      </c>
      <c r="J53" s="17">
        <f t="shared" si="36"/>
        <v>0</v>
      </c>
      <c r="P53" s="2">
        <v>5.07</v>
      </c>
      <c r="W53" s="17">
        <f t="shared" si="29"/>
        <v>7.6050000000000004</v>
      </c>
      <c r="X53" s="6">
        <f t="shared" si="38"/>
        <v>98.26657121113368</v>
      </c>
      <c r="Y53" s="72"/>
      <c r="Z53" s="21">
        <f t="shared" si="30"/>
        <v>40</v>
      </c>
      <c r="AA53" s="21">
        <f t="shared" si="31"/>
        <v>48.455949155135819</v>
      </c>
      <c r="AB53" s="18">
        <f t="shared" si="32"/>
        <v>41.187556781865446</v>
      </c>
      <c r="AC53" s="18">
        <f t="shared" si="33"/>
        <v>46.033151697379026</v>
      </c>
      <c r="AD53" s="18">
        <f t="shared" si="34"/>
        <v>115.60773083662785</v>
      </c>
      <c r="AE53" s="18">
        <f t="shared" si="35"/>
        <v>103.43849601171966</v>
      </c>
    </row>
    <row r="54" spans="1:31" x14ac:dyDescent="0.2">
      <c r="A54" s="10" t="s">
        <v>126</v>
      </c>
      <c r="B54" s="10" t="s">
        <v>157</v>
      </c>
      <c r="C54" s="10" t="s">
        <v>155</v>
      </c>
      <c r="D54" s="10" t="s">
        <v>158</v>
      </c>
      <c r="E54" s="6">
        <v>1.7599999904632568</v>
      </c>
      <c r="F54" s="6">
        <f t="shared" si="37"/>
        <v>81.119999628067035</v>
      </c>
      <c r="G54" s="1" t="s">
        <v>156</v>
      </c>
      <c r="H54" s="1" t="s">
        <v>159</v>
      </c>
      <c r="I54" s="17">
        <f t="shared" si="28"/>
        <v>1.7599999904632568</v>
      </c>
      <c r="J54" s="17">
        <f t="shared" si="36"/>
        <v>-9.5367431729442842E-9</v>
      </c>
      <c r="P54" s="2">
        <v>1.76</v>
      </c>
      <c r="W54" s="17">
        <f t="shared" si="29"/>
        <v>2.6399999942779542</v>
      </c>
      <c r="X54" s="6">
        <f t="shared" si="38"/>
        <v>100.90657120541164</v>
      </c>
      <c r="Y54" s="72"/>
      <c r="Z54" s="21">
        <f t="shared" si="30"/>
        <v>39.999999869953506</v>
      </c>
      <c r="AA54" s="21">
        <f t="shared" si="31"/>
        <v>48.234717715024225</v>
      </c>
      <c r="AB54" s="18">
        <f t="shared" si="32"/>
        <v>40.999510057770593</v>
      </c>
      <c r="AC54" s="18">
        <f t="shared" si="33"/>
        <v>45.822981829273012</v>
      </c>
      <c r="AD54" s="18">
        <f t="shared" si="34"/>
        <v>118.71361318283721</v>
      </c>
      <c r="AE54" s="18">
        <f t="shared" si="35"/>
        <v>106.21744337411752</v>
      </c>
    </row>
    <row r="55" spans="1:31" x14ac:dyDescent="0.2">
      <c r="A55" s="10" t="s">
        <v>126</v>
      </c>
      <c r="B55" s="10" t="s">
        <v>160</v>
      </c>
      <c r="C55" s="10" t="s">
        <v>158</v>
      </c>
      <c r="D55" s="10" t="s">
        <v>161</v>
      </c>
      <c r="E55" s="6">
        <v>6.28</v>
      </c>
      <c r="F55" s="6">
        <f t="shared" si="37"/>
        <v>87.399999628067036</v>
      </c>
      <c r="G55" s="1" t="s">
        <v>159</v>
      </c>
      <c r="H55" s="1" t="s">
        <v>444</v>
      </c>
      <c r="I55" s="17">
        <f t="shared" si="28"/>
        <v>6.28</v>
      </c>
      <c r="J55" s="17">
        <f t="shared" si="36"/>
        <v>0</v>
      </c>
      <c r="P55" s="2">
        <v>6.28</v>
      </c>
      <c r="W55" s="17">
        <f t="shared" si="29"/>
        <v>9.42</v>
      </c>
      <c r="X55" s="6">
        <f t="shared" si="38"/>
        <v>110.32657120541164</v>
      </c>
      <c r="Y55" s="72"/>
      <c r="Z55" s="21">
        <f t="shared" si="30"/>
        <v>40.000000000000007</v>
      </c>
      <c r="AA55" s="21">
        <f t="shared" si="31"/>
        <v>47.531613829641053</v>
      </c>
      <c r="AB55" s="18">
        <f t="shared" si="32"/>
        <v>40.401871755194897</v>
      </c>
      <c r="AC55" s="18">
        <f t="shared" si="33"/>
        <v>45.155033138158998</v>
      </c>
      <c r="AD55" s="18">
        <f t="shared" si="34"/>
        <v>129.79596612401369</v>
      </c>
      <c r="AE55" s="18">
        <f t="shared" si="35"/>
        <v>116.13323284780172</v>
      </c>
    </row>
    <row r="56" spans="1:31" x14ac:dyDescent="0.2">
      <c r="A56" s="11" t="s">
        <v>126</v>
      </c>
      <c r="B56" s="11" t="s">
        <v>162</v>
      </c>
      <c r="C56" s="11" t="s">
        <v>161</v>
      </c>
      <c r="D56" s="11" t="s">
        <v>163</v>
      </c>
      <c r="E56" s="7">
        <v>6.46</v>
      </c>
      <c r="F56" s="7">
        <f t="shared" si="37"/>
        <v>93.85999962806703</v>
      </c>
      <c r="G56" s="83" t="s">
        <v>444</v>
      </c>
      <c r="H56" s="3" t="s">
        <v>164</v>
      </c>
      <c r="I56" s="22">
        <f t="shared" si="28"/>
        <v>6.46</v>
      </c>
      <c r="J56" s="22">
        <f t="shared" si="36"/>
        <v>0</v>
      </c>
      <c r="K56" s="23"/>
      <c r="L56" s="23"/>
      <c r="M56" s="23"/>
      <c r="N56" s="23"/>
      <c r="O56" s="23"/>
      <c r="P56" s="23"/>
      <c r="Q56" s="23">
        <v>6.46</v>
      </c>
      <c r="R56" s="23"/>
      <c r="S56" s="23"/>
      <c r="T56" s="23"/>
      <c r="U56" s="23"/>
      <c r="V56" s="23"/>
      <c r="W56" s="22">
        <f t="shared" si="29"/>
        <v>12.92</v>
      </c>
      <c r="X56" s="7">
        <f t="shared" si="38"/>
        <v>123.24657120541164</v>
      </c>
      <c r="Y56" s="73"/>
      <c r="Z56" s="24">
        <f t="shared" si="30"/>
        <v>30</v>
      </c>
      <c r="AA56" s="24">
        <f t="shared" si="31"/>
        <v>45.693765940944438</v>
      </c>
      <c r="AB56" s="25">
        <f t="shared" si="32"/>
        <v>38.83970104980277</v>
      </c>
      <c r="AC56" s="25">
        <f t="shared" si="33"/>
        <v>43.409077643897213</v>
      </c>
      <c r="AD56" s="25">
        <f t="shared" si="34"/>
        <v>144.99596612401371</v>
      </c>
      <c r="AE56" s="25">
        <f t="shared" si="35"/>
        <v>129.73323284780173</v>
      </c>
    </row>
    <row r="57" spans="1:31" ht="11.25" customHeight="1" x14ac:dyDescent="0.25">
      <c r="A57" s="10" t="s">
        <v>126</v>
      </c>
      <c r="B57" s="10" t="s">
        <v>165</v>
      </c>
      <c r="C57" s="10" t="s">
        <v>161</v>
      </c>
      <c r="D57" s="10" t="s">
        <v>166</v>
      </c>
      <c r="E57" s="6">
        <v>3.96</v>
      </c>
      <c r="F57" s="6">
        <f>F55+E57</f>
        <v>91.35999962806703</v>
      </c>
      <c r="G57" s="1" t="s">
        <v>444</v>
      </c>
      <c r="H57" s="1" t="s">
        <v>167</v>
      </c>
      <c r="I57" s="17">
        <f t="shared" si="28"/>
        <v>3.96</v>
      </c>
      <c r="J57" s="17">
        <f t="shared" si="36"/>
        <v>0</v>
      </c>
      <c r="O57" s="2">
        <v>1</v>
      </c>
      <c r="P57" s="2">
        <v>1.48</v>
      </c>
      <c r="Q57" s="2">
        <v>1.48</v>
      </c>
      <c r="W57" s="17">
        <f t="shared" si="29"/>
        <v>6.38</v>
      </c>
      <c r="X57" s="6">
        <f>X55+W57</f>
        <v>116.70657120541163</v>
      </c>
      <c r="Y57"/>
      <c r="Z57" s="21">
        <f t="shared" si="30"/>
        <v>37.241379310344826</v>
      </c>
      <c r="AA57" s="21">
        <f t="shared" si="31"/>
        <v>46.969077414124584</v>
      </c>
      <c r="AB57" s="18">
        <f t="shared" si="32"/>
        <v>39.923715802005894</v>
      </c>
      <c r="AC57" s="18">
        <f t="shared" si="33"/>
        <v>44.620623543418354</v>
      </c>
      <c r="AD57" s="18">
        <f t="shared" si="34"/>
        <v>137.30184847695489</v>
      </c>
      <c r="AE57" s="18">
        <f t="shared" si="35"/>
        <v>122.84902232148593</v>
      </c>
    </row>
    <row r="58" spans="1:31" x14ac:dyDescent="0.2">
      <c r="A58" s="10" t="s">
        <v>126</v>
      </c>
      <c r="B58" s="10"/>
      <c r="C58" s="10" t="s">
        <v>166</v>
      </c>
      <c r="D58" s="10"/>
      <c r="E58" s="6">
        <v>4.5999999999999996</v>
      </c>
      <c r="F58" s="6">
        <f>F57+E58</f>
        <v>95.959999628067024</v>
      </c>
      <c r="G58" s="1" t="s">
        <v>167</v>
      </c>
      <c r="H58" s="1" t="s">
        <v>435</v>
      </c>
      <c r="I58" s="17">
        <f t="shared" si="28"/>
        <v>4.5999999999999996</v>
      </c>
      <c r="J58" s="17">
        <f t="shared" si="36"/>
        <v>0</v>
      </c>
      <c r="P58" s="2">
        <v>1</v>
      </c>
      <c r="Q58" s="2">
        <v>2</v>
      </c>
      <c r="R58" s="2">
        <v>1</v>
      </c>
      <c r="S58" s="2">
        <v>0.6</v>
      </c>
      <c r="W58" s="17">
        <f t="shared" si="29"/>
        <v>9.5000000000000018</v>
      </c>
      <c r="X58" s="6">
        <f>X57+W58</f>
        <v>126.20657120541163</v>
      </c>
      <c r="Y58" s="72"/>
      <c r="Z58" s="21">
        <f t="shared" si="30"/>
        <v>29.052631578947363</v>
      </c>
      <c r="AA58" s="21">
        <f t="shared" si="31"/>
        <v>45.620445296093585</v>
      </c>
      <c r="AB58" s="18">
        <f t="shared" si="32"/>
        <v>38.77737850167955</v>
      </c>
      <c r="AC58" s="18">
        <f t="shared" si="33"/>
        <v>43.339423031288902</v>
      </c>
      <c r="AD58" s="18">
        <f t="shared" si="34"/>
        <v>148.47831906519016</v>
      </c>
      <c r="AE58" s="18">
        <f t="shared" si="35"/>
        <v>132.84902232148593</v>
      </c>
    </row>
    <row r="59" spans="1:31" x14ac:dyDescent="0.2">
      <c r="A59" s="10" t="s">
        <v>126</v>
      </c>
      <c r="B59" s="11"/>
      <c r="C59" s="11"/>
      <c r="D59" s="11"/>
      <c r="E59" s="7">
        <v>3.5</v>
      </c>
      <c r="F59" s="7">
        <f>F58+E59</f>
        <v>99.459999628067024</v>
      </c>
      <c r="G59" s="3" t="s">
        <v>435</v>
      </c>
      <c r="H59" s="3" t="s">
        <v>434</v>
      </c>
      <c r="I59" s="22">
        <f t="shared" si="28"/>
        <v>3.5</v>
      </c>
      <c r="J59" s="22">
        <f t="shared" si="36"/>
        <v>0</v>
      </c>
      <c r="K59" s="23"/>
      <c r="L59" s="23"/>
      <c r="M59" s="23"/>
      <c r="N59" s="23"/>
      <c r="O59" s="23"/>
      <c r="P59" s="23"/>
      <c r="Q59" s="23"/>
      <c r="R59" s="23"/>
      <c r="S59" s="23"/>
      <c r="T59" s="23">
        <v>1</v>
      </c>
      <c r="U59" s="23">
        <v>2.5</v>
      </c>
      <c r="V59" s="23"/>
      <c r="W59" s="22">
        <f>(J59/J$1+K59/K$1+L59/L$1+M59/M$1+N59/N$1+O59/O$1+P59/P$1+Q59/Q$1+R59/R$1+S59/S$1+T59/T$1+U59/U$1+V59/V$1)*60</f>
        <v>11.571428571428569</v>
      </c>
      <c r="X59" s="7">
        <f>X58+W59</f>
        <v>137.7779997768402</v>
      </c>
      <c r="Y59" s="73"/>
      <c r="Z59" s="24">
        <f>I59/W59*60</f>
        <v>18.148148148148152</v>
      </c>
      <c r="AA59" s="24">
        <f>F59/X59*60</f>
        <v>43.313155854706679</v>
      </c>
      <c r="AB59" s="25">
        <f t="shared" si="32"/>
        <v>36.816182476500678</v>
      </c>
      <c r="AC59" s="25">
        <f>AA59*0.95</f>
        <v>41.147498061971341</v>
      </c>
      <c r="AD59" s="25">
        <f>$F59/AB59*60</f>
        <v>162.09176444334139</v>
      </c>
      <c r="AE59" s="25">
        <f>$F59/AC59*60</f>
        <v>145.0294734493055</v>
      </c>
    </row>
    <row r="60" spans="1:31" x14ac:dyDescent="0.2">
      <c r="A60" s="10" t="s">
        <v>126</v>
      </c>
      <c r="B60" s="10"/>
      <c r="C60" s="10"/>
      <c r="D60" s="10"/>
      <c r="E60" s="6">
        <v>1.46</v>
      </c>
      <c r="F60" s="6">
        <f>F58+E60</f>
        <v>97.419999628067018</v>
      </c>
      <c r="G60" s="1" t="s">
        <v>435</v>
      </c>
      <c r="H60" s="1" t="s">
        <v>436</v>
      </c>
      <c r="I60" s="17">
        <f t="shared" si="28"/>
        <v>1.46</v>
      </c>
      <c r="J60" s="17">
        <f t="shared" si="36"/>
        <v>0</v>
      </c>
      <c r="S60" s="2">
        <v>1.46</v>
      </c>
      <c r="W60" s="17">
        <f>(J60/J$1+K60/K$1+L60/L$1+M60/M$1+N60/N$1+O60/O$1+P60/P$1+Q60/Q$1+R60/R$1+S60/S$1+T60/T$1+U60/U$1+V60/V$1)*60</f>
        <v>3.8933333333333331</v>
      </c>
      <c r="X60" s="6">
        <f>X58+W60</f>
        <v>130.09990453874497</v>
      </c>
      <c r="Y60" s="72"/>
      <c r="Z60" s="21">
        <f t="shared" si="30"/>
        <v>22.5</v>
      </c>
      <c r="AA60" s="21">
        <f t="shared" si="31"/>
        <v>44.928549320674293</v>
      </c>
      <c r="AB60" s="18">
        <f t="shared" si="32"/>
        <v>38.189266922573147</v>
      </c>
      <c r="AC60" s="18">
        <f t="shared" si="33"/>
        <v>42.682121854640577</v>
      </c>
      <c r="AD60" s="18">
        <f t="shared" si="34"/>
        <v>153.05871122205292</v>
      </c>
      <c r="AE60" s="18">
        <f t="shared" si="35"/>
        <v>136.94726793552104</v>
      </c>
    </row>
    <row r="61" spans="1:31" x14ac:dyDescent="0.2">
      <c r="A61" s="10" t="s">
        <v>126</v>
      </c>
      <c r="B61" s="11"/>
      <c r="C61" s="11"/>
      <c r="D61" s="11"/>
      <c r="E61" s="7">
        <v>1.22</v>
      </c>
      <c r="F61" s="7">
        <f>F60+E61</f>
        <v>98.639999628067017</v>
      </c>
      <c r="G61" s="3" t="s">
        <v>436</v>
      </c>
      <c r="H61" s="3" t="s">
        <v>437</v>
      </c>
      <c r="I61" s="22">
        <f>E61</f>
        <v>1.22</v>
      </c>
      <c r="J61" s="22">
        <f t="shared" si="36"/>
        <v>0</v>
      </c>
      <c r="K61" s="23"/>
      <c r="L61" s="23"/>
      <c r="M61" s="23"/>
      <c r="N61" s="23"/>
      <c r="O61" s="23"/>
      <c r="P61" s="23"/>
      <c r="Q61" s="23"/>
      <c r="R61" s="23"/>
      <c r="S61" s="23">
        <v>1.22</v>
      </c>
      <c r="T61" s="23"/>
      <c r="U61" s="23"/>
      <c r="V61" s="23"/>
      <c r="W61" s="22">
        <f>(J61/J$1+K61/K$1+L61/L$1+M61/M$1+N61/N$1+O61/O$1+P61/P$1+Q61/Q$1+R61/R$1+S61/S$1+T61/T$1+U61/U$1+V61/V$1)*60</f>
        <v>3.2533333333333334</v>
      </c>
      <c r="X61" s="7">
        <f>X60+W61</f>
        <v>133.3532378720783</v>
      </c>
      <c r="Y61" s="73"/>
      <c r="Z61" s="24">
        <f t="shared" si="30"/>
        <v>22.5</v>
      </c>
      <c r="AA61" s="24">
        <f t="shared" si="31"/>
        <v>44.38137440173265</v>
      </c>
      <c r="AB61" s="25">
        <f t="shared" si="32"/>
        <v>37.724168241472753</v>
      </c>
      <c r="AC61" s="25">
        <f t="shared" si="33"/>
        <v>42.162305681646018</v>
      </c>
      <c r="AD61" s="25">
        <f t="shared" si="34"/>
        <v>156.88616220244506</v>
      </c>
      <c r="AE61" s="25">
        <f t="shared" si="35"/>
        <v>140.37182933902977</v>
      </c>
    </row>
    <row r="62" spans="1:31" x14ac:dyDescent="0.2">
      <c r="A62" s="10"/>
      <c r="B62" s="10"/>
      <c r="C62" s="10"/>
      <c r="D62" s="10"/>
      <c r="E62" s="6"/>
      <c r="F62" s="6"/>
      <c r="G62" s="1"/>
      <c r="H62" s="1"/>
      <c r="I62" s="28"/>
      <c r="J62" s="28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8"/>
      <c r="X62" s="6"/>
      <c r="Y62" s="72"/>
      <c r="Z62" s="29"/>
      <c r="AA62" s="29"/>
      <c r="AB62" s="30"/>
      <c r="AC62" s="30"/>
      <c r="AD62" s="30"/>
      <c r="AE62" s="30"/>
    </row>
    <row r="63" spans="1:31" x14ac:dyDescent="0.2">
      <c r="A63" s="10"/>
      <c r="B63" s="10"/>
      <c r="C63" s="10"/>
      <c r="D63" s="10"/>
      <c r="E63" s="6"/>
      <c r="F63" s="6"/>
      <c r="G63" s="1"/>
      <c r="H63" s="1"/>
      <c r="X63" s="6"/>
      <c r="Y63" s="72"/>
    </row>
    <row r="64" spans="1:31" x14ac:dyDescent="0.2">
      <c r="A64" s="10" t="s">
        <v>168</v>
      </c>
      <c r="B64" s="10" t="s">
        <v>16</v>
      </c>
      <c r="C64" s="10" t="s">
        <v>17</v>
      </c>
      <c r="D64" s="10" t="s">
        <v>18</v>
      </c>
      <c r="E64" s="6">
        <v>0.83</v>
      </c>
      <c r="F64" s="6">
        <f t="shared" ref="F64:F70" si="39">F63+E64</f>
        <v>0.83</v>
      </c>
      <c r="G64" s="1" t="s">
        <v>19</v>
      </c>
      <c r="H64" s="1" t="s">
        <v>20</v>
      </c>
      <c r="I64" s="17">
        <f t="shared" ref="I64:I70" si="40">E64</f>
        <v>0.83</v>
      </c>
      <c r="J64" s="17">
        <f t="shared" si="36"/>
        <v>0</v>
      </c>
      <c r="O64" s="2">
        <v>0.55000000000000004</v>
      </c>
      <c r="T64" s="2">
        <v>0.28000000000000003</v>
      </c>
      <c r="W64" s="17">
        <f t="shared" ref="W64:W70" si="41">(J64/J$1+K64/K$1+L64/L$1+M64/M$1+N64/N$1+O64/O$1+P64/P$1+Q64/Q$1+R64/R$1+S64/S$1+T64/T$1+U64/U$1+V64/V$1)*60</f>
        <v>1.5</v>
      </c>
      <c r="X64" s="6">
        <f>W64+0.4</f>
        <v>1.9</v>
      </c>
      <c r="Y64" s="72"/>
      <c r="Z64" s="21">
        <f t="shared" ref="Z64:Z70" si="42">I64/W64*60</f>
        <v>33.200000000000003</v>
      </c>
      <c r="AA64" s="21">
        <f t="shared" ref="AA64:AA70" si="43">F64/X64*60</f>
        <v>26.210526315789476</v>
      </c>
      <c r="AB64" s="18">
        <f t="shared" ref="AB64:AB70" si="44">AA64*0.85</f>
        <v>22.278947368421054</v>
      </c>
      <c r="AC64" s="18">
        <f t="shared" ref="AC64:AC70" si="45">AA64*0.95</f>
        <v>24.900000000000002</v>
      </c>
      <c r="AD64" s="18">
        <f t="shared" ref="AD64:AD70" si="46">$F64/AB64*60</f>
        <v>2.2352941176470584</v>
      </c>
      <c r="AE64" s="18">
        <f t="shared" ref="AE64:AE70" si="47">$F64/AC64*60</f>
        <v>1.9999999999999996</v>
      </c>
    </row>
    <row r="65" spans="1:31" x14ac:dyDescent="0.2">
      <c r="A65" s="10" t="s">
        <v>168</v>
      </c>
      <c r="B65" s="10" t="s">
        <v>52</v>
      </c>
      <c r="C65" s="10" t="s">
        <v>18</v>
      </c>
      <c r="D65" s="10" t="s">
        <v>53</v>
      </c>
      <c r="E65" s="6">
        <v>0.75</v>
      </c>
      <c r="F65" s="6">
        <f t="shared" si="39"/>
        <v>1.58</v>
      </c>
      <c r="G65" s="1" t="s">
        <v>20</v>
      </c>
      <c r="H65" s="1" t="s">
        <v>54</v>
      </c>
      <c r="I65" s="17">
        <f t="shared" si="40"/>
        <v>0.75</v>
      </c>
      <c r="J65" s="17">
        <f t="shared" si="36"/>
        <v>0</v>
      </c>
      <c r="O65" s="2">
        <v>0.75</v>
      </c>
      <c r="W65" s="17">
        <f t="shared" si="41"/>
        <v>0.89999999999999991</v>
      </c>
      <c r="X65" s="6">
        <f>X64+W65+0.5</f>
        <v>3.3</v>
      </c>
      <c r="Y65" s="72"/>
      <c r="Z65" s="21">
        <f t="shared" si="42"/>
        <v>50</v>
      </c>
      <c r="AA65" s="21">
        <f t="shared" si="43"/>
        <v>28.72727272727273</v>
      </c>
      <c r="AB65" s="18">
        <f t="shared" si="44"/>
        <v>24.418181818181822</v>
      </c>
      <c r="AC65" s="18">
        <f t="shared" si="45"/>
        <v>27.290909090909093</v>
      </c>
      <c r="AD65" s="18">
        <f t="shared" si="46"/>
        <v>3.8823529411764701</v>
      </c>
      <c r="AE65" s="18">
        <f t="shared" si="47"/>
        <v>3.4736842105263159</v>
      </c>
    </row>
    <row r="66" spans="1:31" x14ac:dyDescent="0.2">
      <c r="A66" s="10" t="s">
        <v>168</v>
      </c>
      <c r="B66" s="10" t="s">
        <v>169</v>
      </c>
      <c r="C66" s="10" t="s">
        <v>53</v>
      </c>
      <c r="D66" s="10" t="s">
        <v>170</v>
      </c>
      <c r="E66" s="6">
        <v>9.4600000000000009</v>
      </c>
      <c r="F66" s="6">
        <f t="shared" si="39"/>
        <v>11.040000000000001</v>
      </c>
      <c r="G66" s="1" t="s">
        <v>54</v>
      </c>
      <c r="H66" s="1" t="s">
        <v>171</v>
      </c>
      <c r="I66" s="17">
        <f t="shared" si="40"/>
        <v>9.4600000000000009</v>
      </c>
      <c r="J66" s="17">
        <f t="shared" si="36"/>
        <v>2.0100000000000016</v>
      </c>
      <c r="M66" s="2">
        <v>4.05</v>
      </c>
      <c r="O66" s="2">
        <v>3.4</v>
      </c>
      <c r="W66" s="17">
        <f t="shared" si="41"/>
        <v>8.7574285714285729</v>
      </c>
      <c r="X66" s="6">
        <f>X65+W66+2</f>
        <v>14.057428571428574</v>
      </c>
      <c r="Y66" s="72"/>
      <c r="Z66" s="21">
        <f t="shared" si="42"/>
        <v>64.813546050699813</v>
      </c>
      <c r="AA66" s="21">
        <f t="shared" si="43"/>
        <v>47.12099347574236</v>
      </c>
      <c r="AB66" s="18">
        <f t="shared" si="44"/>
        <v>40.052844454381002</v>
      </c>
      <c r="AC66" s="18">
        <f t="shared" si="45"/>
        <v>44.764943801955241</v>
      </c>
      <c r="AD66" s="18">
        <f t="shared" si="46"/>
        <v>16.538151260504208</v>
      </c>
      <c r="AE66" s="18">
        <f t="shared" si="47"/>
        <v>14.79729323308271</v>
      </c>
    </row>
    <row r="67" spans="1:31" x14ac:dyDescent="0.2">
      <c r="A67" s="10" t="s">
        <v>168</v>
      </c>
      <c r="B67" s="10" t="s">
        <v>172</v>
      </c>
      <c r="C67" s="10" t="s">
        <v>170</v>
      </c>
      <c r="D67" s="10" t="s">
        <v>173</v>
      </c>
      <c r="E67" s="6">
        <v>5.3</v>
      </c>
      <c r="F67" s="6">
        <f t="shared" si="39"/>
        <v>16.34</v>
      </c>
      <c r="G67" s="1" t="s">
        <v>171</v>
      </c>
      <c r="H67" s="1" t="s">
        <v>174</v>
      </c>
      <c r="I67" s="17">
        <f t="shared" si="40"/>
        <v>5.3</v>
      </c>
      <c r="J67" s="17">
        <f t="shared" si="36"/>
        <v>5.3</v>
      </c>
      <c r="W67" s="17">
        <f t="shared" si="41"/>
        <v>3.1799999999999997</v>
      </c>
      <c r="X67" s="6">
        <f>X66+W67</f>
        <v>17.237428571428573</v>
      </c>
      <c r="Y67" s="72"/>
      <c r="Z67" s="21">
        <f t="shared" si="42"/>
        <v>100</v>
      </c>
      <c r="AA67" s="21">
        <f t="shared" si="43"/>
        <v>56.876232782483292</v>
      </c>
      <c r="AB67" s="18">
        <f t="shared" si="44"/>
        <v>48.344797865110799</v>
      </c>
      <c r="AC67" s="18">
        <f t="shared" si="45"/>
        <v>54.032421143359123</v>
      </c>
      <c r="AD67" s="18">
        <f t="shared" si="46"/>
        <v>20.27932773109244</v>
      </c>
      <c r="AE67" s="18">
        <f t="shared" si="47"/>
        <v>18.144661654135341</v>
      </c>
    </row>
    <row r="68" spans="1:31" x14ac:dyDescent="0.2">
      <c r="A68" s="10" t="s">
        <v>168</v>
      </c>
      <c r="B68" s="10" t="s">
        <v>175</v>
      </c>
      <c r="C68" s="10" t="s">
        <v>173</v>
      </c>
      <c r="D68" s="10" t="s">
        <v>176</v>
      </c>
      <c r="E68" s="6">
        <v>5.96</v>
      </c>
      <c r="F68" s="6">
        <f t="shared" si="39"/>
        <v>22.3</v>
      </c>
      <c r="G68" s="1" t="s">
        <v>174</v>
      </c>
      <c r="H68" s="1" t="s">
        <v>177</v>
      </c>
      <c r="I68" s="17">
        <f t="shared" si="40"/>
        <v>5.96</v>
      </c>
      <c r="J68" s="17">
        <f t="shared" si="36"/>
        <v>5.76</v>
      </c>
      <c r="L68" s="2">
        <f>0.2</f>
        <v>0.2</v>
      </c>
      <c r="W68" s="17">
        <f t="shared" si="41"/>
        <v>3.6059999999999999</v>
      </c>
      <c r="X68" s="6">
        <f>X67+W68</f>
        <v>20.843428571428575</v>
      </c>
      <c r="Y68" s="72"/>
      <c r="Z68" s="21">
        <f t="shared" si="42"/>
        <v>99.168053244592357</v>
      </c>
      <c r="AA68" s="21">
        <f t="shared" si="43"/>
        <v>64.19289395767079</v>
      </c>
      <c r="AB68" s="18">
        <f t="shared" si="44"/>
        <v>54.56395986402017</v>
      </c>
      <c r="AC68" s="18">
        <f t="shared" si="45"/>
        <v>60.98324925978725</v>
      </c>
      <c r="AD68" s="18">
        <f t="shared" si="46"/>
        <v>24.521680672268914</v>
      </c>
      <c r="AE68" s="18">
        <f t="shared" si="47"/>
        <v>21.940451127819554</v>
      </c>
    </row>
    <row r="69" spans="1:31" x14ac:dyDescent="0.2">
      <c r="A69" s="10" t="s">
        <v>168</v>
      </c>
      <c r="B69" s="10" t="s">
        <v>178</v>
      </c>
      <c r="C69" s="10" t="s">
        <v>176</v>
      </c>
      <c r="D69" s="10" t="s">
        <v>179</v>
      </c>
      <c r="E69" s="6">
        <v>2.0099999999999998</v>
      </c>
      <c r="F69" s="6">
        <f t="shared" si="39"/>
        <v>24.310000000000002</v>
      </c>
      <c r="G69" s="1" t="s">
        <v>177</v>
      </c>
      <c r="H69" s="1" t="s">
        <v>180</v>
      </c>
      <c r="I69" s="17">
        <f t="shared" si="40"/>
        <v>2.0099999999999998</v>
      </c>
      <c r="J69" s="17">
        <f t="shared" si="36"/>
        <v>2.0099999999999998</v>
      </c>
      <c r="W69" s="17">
        <f t="shared" si="41"/>
        <v>1.2059999999999997</v>
      </c>
      <c r="X69" s="6">
        <f>X68+W69</f>
        <v>22.049428571428574</v>
      </c>
      <c r="Y69" s="72"/>
      <c r="Z69" s="21">
        <f t="shared" si="42"/>
        <v>100</v>
      </c>
      <c r="AA69" s="21">
        <f t="shared" si="43"/>
        <v>66.151374185272047</v>
      </c>
      <c r="AB69" s="18">
        <f t="shared" si="44"/>
        <v>56.228668057481237</v>
      </c>
      <c r="AC69" s="18">
        <f t="shared" si="45"/>
        <v>62.843805476008441</v>
      </c>
      <c r="AD69" s="18">
        <f t="shared" si="46"/>
        <v>25.940504201680678</v>
      </c>
      <c r="AE69" s="18">
        <f t="shared" si="47"/>
        <v>23.209924812030081</v>
      </c>
    </row>
    <row r="70" spans="1:31" x14ac:dyDescent="0.2">
      <c r="A70" s="10" t="s">
        <v>168</v>
      </c>
      <c r="B70" s="10" t="s">
        <v>181</v>
      </c>
      <c r="C70" s="10" t="s">
        <v>179</v>
      </c>
      <c r="D70" s="10" t="s">
        <v>182</v>
      </c>
      <c r="E70" s="6">
        <v>5.34</v>
      </c>
      <c r="F70" s="6">
        <f t="shared" si="39"/>
        <v>29.650000000000002</v>
      </c>
      <c r="G70" s="1" t="s">
        <v>180</v>
      </c>
      <c r="H70" s="1" t="s">
        <v>183</v>
      </c>
      <c r="I70" s="17">
        <f t="shared" si="40"/>
        <v>5.34</v>
      </c>
      <c r="J70" s="17">
        <f t="shared" si="36"/>
        <v>1.7400000000000002</v>
      </c>
      <c r="L70" s="2">
        <v>0.9</v>
      </c>
      <c r="M70" s="2">
        <v>2</v>
      </c>
      <c r="N70" s="2">
        <v>0.7</v>
      </c>
      <c r="W70" s="17">
        <f t="shared" si="41"/>
        <v>4.1332857142857149</v>
      </c>
      <c r="X70" s="6">
        <f>X69+W70</f>
        <v>26.18271428571429</v>
      </c>
      <c r="Y70" s="72"/>
      <c r="Z70" s="21">
        <f t="shared" si="42"/>
        <v>77.51702208550789</v>
      </c>
      <c r="AA70" s="21">
        <f t="shared" si="43"/>
        <v>67.945591147922016</v>
      </c>
      <c r="AB70" s="18">
        <f t="shared" si="44"/>
        <v>57.753752475733712</v>
      </c>
      <c r="AC70" s="18">
        <f t="shared" si="45"/>
        <v>64.548311590525913</v>
      </c>
      <c r="AD70" s="18">
        <f t="shared" si="46"/>
        <v>30.803193277310928</v>
      </c>
      <c r="AE70" s="18">
        <f t="shared" si="47"/>
        <v>27.560751879699254</v>
      </c>
    </row>
    <row r="71" spans="1:31" x14ac:dyDescent="0.2">
      <c r="A71" s="10"/>
      <c r="B71" s="10"/>
      <c r="C71" s="10"/>
      <c r="D71" s="10"/>
      <c r="E71" s="6"/>
      <c r="F71" s="6"/>
      <c r="G71" s="1"/>
      <c r="H71" s="1"/>
    </row>
    <row r="74" spans="1:31" x14ac:dyDescent="0.2">
      <c r="A74" s="10"/>
      <c r="B74" s="10"/>
      <c r="C74" s="10"/>
      <c r="D74" s="10"/>
      <c r="E74" s="6"/>
      <c r="F74" s="6"/>
      <c r="G74" s="1"/>
      <c r="H74" s="1"/>
    </row>
    <row r="75" spans="1:31" x14ac:dyDescent="0.2">
      <c r="A75" s="10"/>
      <c r="B75" s="10"/>
      <c r="C75" s="10"/>
      <c r="D75" s="10"/>
      <c r="E75" s="6"/>
      <c r="F75" s="6"/>
      <c r="G75" s="1"/>
      <c r="H75" s="1"/>
    </row>
    <row r="76" spans="1:31" x14ac:dyDescent="0.2">
      <c r="A76" s="10"/>
      <c r="B76" s="10"/>
      <c r="C76" s="10"/>
      <c r="D76" s="10"/>
      <c r="E76" s="6"/>
      <c r="F76" s="6"/>
      <c r="G76" s="1"/>
      <c r="H76" s="1"/>
    </row>
    <row r="77" spans="1:31" x14ac:dyDescent="0.2">
      <c r="A77" s="10"/>
    </row>
    <row r="78" spans="1:31" x14ac:dyDescent="0.2">
      <c r="A78" s="10"/>
      <c r="B78" s="10"/>
      <c r="C78" s="10"/>
      <c r="D78" s="10"/>
      <c r="E78" s="6"/>
      <c r="F78" s="6"/>
      <c r="G78" s="1"/>
      <c r="H78" s="1"/>
    </row>
    <row r="79" spans="1:31" x14ac:dyDescent="0.2">
      <c r="A79" s="10"/>
      <c r="B79" s="10"/>
      <c r="C79" s="10"/>
      <c r="D79" s="10"/>
      <c r="E79" s="6"/>
      <c r="F79" s="6"/>
      <c r="G79" s="1"/>
      <c r="H79" s="1"/>
    </row>
    <row r="80" spans="1:31" x14ac:dyDescent="0.2">
      <c r="A80" s="10"/>
      <c r="B80" s="10"/>
      <c r="C80" s="10"/>
      <c r="D80" s="10"/>
      <c r="E80" s="6"/>
      <c r="F80" s="6"/>
      <c r="G80" s="1"/>
      <c r="H80" s="1"/>
    </row>
    <row r="81" spans="1:8" x14ac:dyDescent="0.2">
      <c r="A81" s="10"/>
      <c r="B81" s="10"/>
      <c r="C81" s="10"/>
      <c r="D81" s="10"/>
      <c r="E81" s="6"/>
      <c r="F81" s="6"/>
      <c r="G81" s="1"/>
      <c r="H81" s="1"/>
    </row>
    <row r="82" spans="1:8" x14ac:dyDescent="0.2">
      <c r="A82" s="10"/>
      <c r="B82" s="10"/>
      <c r="C82" s="10"/>
      <c r="D82" s="10"/>
      <c r="E82" s="6"/>
      <c r="F82" s="6"/>
      <c r="G82" s="1"/>
      <c r="H82" s="1"/>
    </row>
    <row r="83" spans="1:8" x14ac:dyDescent="0.2">
      <c r="A83" s="10"/>
      <c r="B83" s="10"/>
      <c r="C83" s="10"/>
      <c r="D83" s="10"/>
      <c r="E83" s="6"/>
      <c r="F83" s="6"/>
      <c r="G83" s="1"/>
      <c r="H83" s="1"/>
    </row>
    <row r="84" spans="1:8" x14ac:dyDescent="0.2">
      <c r="A84" s="10"/>
      <c r="B84" s="10"/>
      <c r="C84" s="10"/>
      <c r="D84" s="10"/>
      <c r="E84" s="6"/>
      <c r="F84" s="6"/>
      <c r="G84" s="1"/>
      <c r="H84" s="1"/>
    </row>
    <row r="85" spans="1:8" x14ac:dyDescent="0.2">
      <c r="A85" s="10"/>
      <c r="B85" s="10"/>
      <c r="C85" s="10"/>
      <c r="D85" s="10"/>
      <c r="E85" s="6"/>
      <c r="F85" s="6"/>
      <c r="G85" s="1"/>
      <c r="H85" s="1"/>
    </row>
    <row r="86" spans="1:8" x14ac:dyDescent="0.2">
      <c r="A86" s="10"/>
      <c r="B86" s="10"/>
      <c r="C86" s="10"/>
      <c r="D86" s="10"/>
      <c r="E86" s="6"/>
      <c r="F86" s="6"/>
      <c r="G86" s="1"/>
      <c r="H86" s="1"/>
    </row>
    <row r="87" spans="1:8" x14ac:dyDescent="0.2">
      <c r="A87" s="10"/>
    </row>
    <row r="88" spans="1:8" x14ac:dyDescent="0.2">
      <c r="A88" s="10"/>
      <c r="B88" s="10"/>
      <c r="C88" s="10"/>
      <c r="D88" s="10"/>
      <c r="E88" s="6"/>
      <c r="F88" s="6"/>
      <c r="G88" s="1"/>
      <c r="H88" s="1"/>
    </row>
    <row r="89" spans="1:8" x14ac:dyDescent="0.2">
      <c r="A89" s="10"/>
      <c r="B89" s="10"/>
      <c r="C89" s="10"/>
      <c r="D89" s="10"/>
      <c r="E89" s="6"/>
      <c r="F89" s="6"/>
      <c r="G89" s="1"/>
      <c r="H89" s="1"/>
    </row>
    <row r="90" spans="1:8" x14ac:dyDescent="0.2">
      <c r="A90" s="10"/>
      <c r="B90" s="10"/>
      <c r="C90" s="10"/>
      <c r="D90" s="10"/>
      <c r="E90" s="6"/>
      <c r="F90" s="6"/>
      <c r="G90" s="1"/>
      <c r="H90" s="1"/>
    </row>
    <row r="91" spans="1:8" x14ac:dyDescent="0.2">
      <c r="A91" s="10"/>
      <c r="B91" s="10"/>
      <c r="C91" s="10"/>
      <c r="D91" s="10"/>
      <c r="E91" s="6"/>
      <c r="F91" s="6"/>
      <c r="G91" s="1"/>
      <c r="H91" s="1"/>
    </row>
    <row r="92" spans="1:8" x14ac:dyDescent="0.2">
      <c r="A92" s="10"/>
      <c r="B92" s="10"/>
      <c r="C92" s="10"/>
      <c r="D92" s="10"/>
      <c r="E92" s="6"/>
      <c r="F92" s="6"/>
      <c r="G92" s="1"/>
      <c r="H92" s="1"/>
    </row>
    <row r="93" spans="1:8" x14ac:dyDescent="0.2">
      <c r="A93" s="10"/>
      <c r="B93" s="10"/>
      <c r="C93" s="10"/>
      <c r="D93" s="10"/>
      <c r="E93" s="6"/>
      <c r="F93" s="6"/>
      <c r="G93" s="1"/>
      <c r="H93" s="1"/>
    </row>
    <row r="94" spans="1:8" x14ac:dyDescent="0.2">
      <c r="A94" s="10"/>
      <c r="B94" s="10"/>
      <c r="C94" s="10"/>
      <c r="D94" s="10"/>
      <c r="E94" s="6"/>
      <c r="F94" s="6"/>
      <c r="G94" s="1"/>
      <c r="H94" s="1"/>
    </row>
    <row r="95" spans="1:8" x14ac:dyDescent="0.2">
      <c r="A95" s="10"/>
      <c r="B95" s="10"/>
      <c r="C95" s="10"/>
      <c r="D95" s="10"/>
      <c r="E95" s="6"/>
      <c r="F95" s="6"/>
      <c r="G95" s="1"/>
      <c r="H95" s="1"/>
    </row>
    <row r="96" spans="1:8" x14ac:dyDescent="0.2">
      <c r="A96" s="10"/>
      <c r="B96" s="10"/>
      <c r="C96" s="10"/>
      <c r="D96" s="10"/>
      <c r="E96" s="6"/>
      <c r="F96" s="6"/>
      <c r="G96" s="1"/>
      <c r="H96" s="1"/>
    </row>
    <row r="97" spans="1:8" x14ac:dyDescent="0.2">
      <c r="A97" s="10"/>
      <c r="B97" s="10"/>
      <c r="C97" s="10"/>
      <c r="D97" s="10"/>
      <c r="E97" s="6"/>
      <c r="F97" s="6"/>
      <c r="G97" s="1"/>
      <c r="H97" s="1"/>
    </row>
    <row r="98" spans="1:8" x14ac:dyDescent="0.2">
      <c r="A98" s="10"/>
      <c r="B98" s="10"/>
      <c r="C98" s="10"/>
      <c r="D98" s="10"/>
      <c r="E98" s="6"/>
      <c r="F98" s="6"/>
      <c r="G98" s="1"/>
      <c r="H98" s="1"/>
    </row>
    <row r="99" spans="1:8" x14ac:dyDescent="0.2">
      <c r="A99" s="10"/>
      <c r="B99" s="10"/>
      <c r="C99" s="10"/>
      <c r="D99" s="10"/>
      <c r="E99" s="6"/>
      <c r="F99" s="6"/>
      <c r="G99" s="1"/>
      <c r="H99" s="1"/>
    </row>
    <row r="100" spans="1:8" x14ac:dyDescent="0.2">
      <c r="A100" s="10"/>
      <c r="B100" s="10"/>
      <c r="C100" s="10"/>
      <c r="D100" s="10"/>
      <c r="E100" s="6"/>
      <c r="F100" s="6"/>
      <c r="G100" s="1"/>
      <c r="H100" s="1"/>
    </row>
    <row r="101" spans="1:8" x14ac:dyDescent="0.2">
      <c r="A101" s="10"/>
      <c r="B101" s="10"/>
      <c r="C101" s="10"/>
      <c r="D101" s="10"/>
      <c r="E101" s="6"/>
      <c r="F101" s="6"/>
      <c r="G101" s="1"/>
      <c r="H101" s="1"/>
    </row>
    <row r="102" spans="1:8" x14ac:dyDescent="0.2">
      <c r="A102" s="10"/>
      <c r="B102" s="10"/>
      <c r="C102" s="10"/>
      <c r="D102" s="10"/>
      <c r="E102" s="6"/>
      <c r="F102" s="6"/>
      <c r="G102" s="1"/>
      <c r="H102" s="1"/>
    </row>
    <row r="103" spans="1:8" x14ac:dyDescent="0.2">
      <c r="A103" s="10"/>
      <c r="B103" s="10"/>
      <c r="C103" s="10"/>
      <c r="D103" s="10"/>
      <c r="E103" s="6"/>
      <c r="F103" s="6"/>
      <c r="G103" s="1"/>
      <c r="H103" s="1"/>
    </row>
    <row r="104" spans="1:8" x14ac:dyDescent="0.2">
      <c r="A104" s="10"/>
      <c r="B104" s="10"/>
      <c r="C104" s="10"/>
      <c r="D104" s="10"/>
      <c r="E104" s="6"/>
      <c r="F104" s="6"/>
      <c r="G104" s="1"/>
      <c r="H104" s="1"/>
    </row>
    <row r="105" spans="1:8" x14ac:dyDescent="0.2">
      <c r="A105" s="10"/>
      <c r="B105" s="10"/>
      <c r="C105" s="10"/>
      <c r="D105" s="10"/>
      <c r="E105" s="6"/>
      <c r="F105" s="6"/>
      <c r="G105" s="1"/>
      <c r="H105" s="1"/>
    </row>
    <row r="106" spans="1:8" x14ac:dyDescent="0.2">
      <c r="A106" s="10"/>
      <c r="B106" s="10"/>
      <c r="C106" s="10"/>
      <c r="D106" s="10"/>
      <c r="E106" s="6"/>
      <c r="F106" s="6"/>
      <c r="G106" s="1"/>
      <c r="H106" s="1"/>
    </row>
    <row r="107" spans="1:8" x14ac:dyDescent="0.2">
      <c r="A107" s="10"/>
      <c r="B107" s="10"/>
      <c r="C107" s="10"/>
      <c r="D107" s="10"/>
      <c r="E107" s="6"/>
      <c r="F107" s="6"/>
      <c r="G107" s="1"/>
      <c r="H107" s="1"/>
    </row>
    <row r="108" spans="1:8" x14ac:dyDescent="0.2">
      <c r="A108" s="10"/>
      <c r="B108" s="10"/>
      <c r="C108" s="10"/>
      <c r="D108" s="10"/>
      <c r="E108" s="6"/>
      <c r="F108" s="6"/>
      <c r="G108" s="1"/>
      <c r="H108" s="1"/>
    </row>
    <row r="109" spans="1:8" x14ac:dyDescent="0.2">
      <c r="A109" s="10"/>
      <c r="B109" s="10"/>
      <c r="C109" s="10"/>
      <c r="D109" s="10"/>
      <c r="E109" s="6"/>
      <c r="F109" s="6"/>
      <c r="G109" s="1"/>
      <c r="H109" s="1"/>
    </row>
    <row r="110" spans="1:8" x14ac:dyDescent="0.2">
      <c r="A110" s="10"/>
    </row>
    <row r="111" spans="1:8" x14ac:dyDescent="0.2">
      <c r="A111" s="10"/>
      <c r="B111" s="10"/>
      <c r="C111" s="10"/>
      <c r="D111" s="10"/>
      <c r="E111" s="6"/>
      <c r="F111" s="6"/>
      <c r="G111" s="1"/>
      <c r="H111" s="1"/>
    </row>
    <row r="112" spans="1:8" x14ac:dyDescent="0.2">
      <c r="A112" s="10"/>
      <c r="B112" s="10"/>
      <c r="C112" s="10"/>
      <c r="D112" s="10"/>
      <c r="E112" s="6"/>
      <c r="F112" s="6"/>
      <c r="G112" s="1"/>
      <c r="H112" s="1"/>
    </row>
    <row r="113" spans="1:8" x14ac:dyDescent="0.2">
      <c r="A113" s="10"/>
      <c r="B113" s="10"/>
      <c r="C113" s="10"/>
      <c r="D113" s="10"/>
      <c r="E113" s="6"/>
      <c r="F113" s="6"/>
      <c r="G113" s="1"/>
      <c r="H113" s="1"/>
    </row>
    <row r="114" spans="1:8" x14ac:dyDescent="0.2">
      <c r="A114" s="10"/>
      <c r="B114" s="10"/>
      <c r="C114" s="10"/>
      <c r="D114" s="10"/>
      <c r="E114" s="6"/>
      <c r="F114" s="6"/>
      <c r="G114" s="1"/>
      <c r="H114" s="1"/>
    </row>
    <row r="115" spans="1:8" x14ac:dyDescent="0.2">
      <c r="A115" s="10"/>
      <c r="B115" s="10"/>
      <c r="C115" s="10"/>
      <c r="D115" s="10"/>
      <c r="E115" s="6"/>
      <c r="F115" s="6"/>
      <c r="G115" s="1"/>
      <c r="H115" s="1"/>
    </row>
    <row r="116" spans="1:8" x14ac:dyDescent="0.2">
      <c r="A116" s="10"/>
      <c r="B116" s="10"/>
      <c r="C116" s="10"/>
      <c r="D116" s="10"/>
      <c r="E116" s="6"/>
      <c r="F116" s="6"/>
      <c r="G116" s="1"/>
      <c r="H116" s="1"/>
    </row>
    <row r="117" spans="1:8" x14ac:dyDescent="0.2">
      <c r="A117" s="10"/>
      <c r="B117" s="10"/>
      <c r="C117" s="10"/>
      <c r="D117" s="10"/>
      <c r="E117" s="6"/>
      <c r="F117" s="6"/>
      <c r="G117" s="1"/>
      <c r="H117" s="1"/>
    </row>
    <row r="118" spans="1:8" x14ac:dyDescent="0.2">
      <c r="A118" s="10"/>
      <c r="B118" s="10"/>
      <c r="C118" s="10"/>
      <c r="D118" s="10"/>
      <c r="E118" s="6"/>
      <c r="F118" s="6"/>
      <c r="G118" s="1"/>
      <c r="H118" s="1"/>
    </row>
    <row r="119" spans="1:8" x14ac:dyDescent="0.2">
      <c r="A119" s="10"/>
      <c r="B119" s="10"/>
      <c r="C119" s="10"/>
      <c r="D119" s="10"/>
      <c r="E119" s="6"/>
      <c r="F119" s="6"/>
      <c r="G119" s="1"/>
      <c r="H119" s="1"/>
    </row>
    <row r="120" spans="1:8" x14ac:dyDescent="0.2">
      <c r="A120" s="10"/>
      <c r="B120" s="10"/>
      <c r="C120" s="10"/>
      <c r="D120" s="10"/>
      <c r="E120" s="6"/>
      <c r="F120" s="6"/>
      <c r="G120" s="1"/>
      <c r="H120" s="1"/>
    </row>
    <row r="121" spans="1:8" x14ac:dyDescent="0.2">
      <c r="A121" s="10"/>
      <c r="B121" s="10"/>
      <c r="C121" s="10"/>
      <c r="D121" s="10"/>
      <c r="E121" s="6"/>
      <c r="F121" s="6"/>
      <c r="G121" s="1"/>
      <c r="H121" s="1"/>
    </row>
    <row r="122" spans="1:8" x14ac:dyDescent="0.2">
      <c r="A122" s="10"/>
      <c r="B122" s="10"/>
      <c r="C122" s="10"/>
      <c r="D122" s="10"/>
      <c r="E122" s="6"/>
      <c r="F122" s="6"/>
      <c r="G122" s="1"/>
      <c r="H122" s="1"/>
    </row>
    <row r="123" spans="1:8" x14ac:dyDescent="0.2">
      <c r="A123" s="10"/>
      <c r="B123" s="10"/>
      <c r="C123" s="10"/>
      <c r="D123" s="10"/>
      <c r="E123" s="6"/>
      <c r="F123" s="6"/>
      <c r="G123" s="1"/>
      <c r="H123" s="1"/>
    </row>
    <row r="124" spans="1:8" x14ac:dyDescent="0.2">
      <c r="A124" s="10"/>
      <c r="B124" s="10"/>
      <c r="C124" s="10"/>
      <c r="D124" s="10"/>
      <c r="E124" s="6"/>
      <c r="F124" s="6"/>
      <c r="G124" s="1"/>
      <c r="H124" s="1"/>
    </row>
    <row r="125" spans="1:8" x14ac:dyDescent="0.2">
      <c r="A125" s="10"/>
      <c r="B125" s="10"/>
      <c r="C125" s="10"/>
      <c r="D125" s="10"/>
      <c r="E125" s="6"/>
      <c r="F125" s="6"/>
      <c r="G125" s="1"/>
      <c r="H125" s="1"/>
    </row>
    <row r="126" spans="1:8" x14ac:dyDescent="0.2">
      <c r="A126" s="10"/>
      <c r="B126" s="10"/>
      <c r="C126" s="10"/>
      <c r="D126" s="10"/>
      <c r="E126" s="6"/>
      <c r="F126" s="6"/>
      <c r="G126" s="1"/>
      <c r="H126" s="1"/>
    </row>
    <row r="127" spans="1:8" x14ac:dyDescent="0.2">
      <c r="A127" s="10"/>
      <c r="B127" s="10"/>
      <c r="C127" s="10"/>
      <c r="D127" s="10"/>
      <c r="E127" s="6"/>
      <c r="F127" s="6"/>
      <c r="G127" s="1"/>
      <c r="H127" s="1"/>
    </row>
    <row r="128" spans="1:8" x14ac:dyDescent="0.2">
      <c r="A128" s="10"/>
      <c r="B128" s="10"/>
      <c r="C128" s="10"/>
      <c r="D128" s="10"/>
      <c r="E128" s="6"/>
      <c r="F128" s="6"/>
      <c r="G128" s="1"/>
      <c r="H128" s="1"/>
    </row>
    <row r="129" spans="1:8" x14ac:dyDescent="0.2">
      <c r="A129" s="10"/>
      <c r="B129" s="10"/>
      <c r="C129" s="10"/>
      <c r="D129" s="10"/>
      <c r="E129" s="6"/>
      <c r="F129" s="6"/>
      <c r="G129" s="1"/>
      <c r="H129" s="1"/>
    </row>
    <row r="130" spans="1:8" x14ac:dyDescent="0.2">
      <c r="A130" s="10"/>
      <c r="B130" s="10"/>
      <c r="C130" s="10"/>
      <c r="D130" s="10"/>
      <c r="E130" s="6"/>
      <c r="F130" s="6"/>
      <c r="G130" s="1"/>
      <c r="H130" s="1"/>
    </row>
    <row r="131" spans="1:8" x14ac:dyDescent="0.2">
      <c r="A131" s="10"/>
      <c r="B131" s="10"/>
      <c r="C131" s="10"/>
      <c r="D131" s="10"/>
      <c r="E131" s="6"/>
      <c r="F131" s="6"/>
      <c r="G131" s="1"/>
      <c r="H131" s="1"/>
    </row>
    <row r="132" spans="1:8" x14ac:dyDescent="0.2">
      <c r="A132" s="10"/>
      <c r="B132" s="10"/>
      <c r="C132" s="10"/>
      <c r="D132" s="10"/>
      <c r="E132" s="6"/>
      <c r="F132" s="6"/>
      <c r="G132" s="1"/>
      <c r="H132" s="1"/>
    </row>
    <row r="133" spans="1:8" x14ac:dyDescent="0.2">
      <c r="A133" s="10"/>
      <c r="B133" s="10"/>
      <c r="C133" s="10"/>
      <c r="D133" s="10"/>
      <c r="E133" s="6"/>
      <c r="F133" s="6"/>
      <c r="G133" s="1"/>
      <c r="H133" s="1"/>
    </row>
    <row r="134" spans="1:8" x14ac:dyDescent="0.2">
      <c r="A134" s="10"/>
      <c r="B134" s="10"/>
      <c r="C134" s="10"/>
      <c r="D134" s="10"/>
      <c r="E134" s="6"/>
      <c r="F134" s="6"/>
      <c r="G134" s="1"/>
      <c r="H134" s="1"/>
    </row>
  </sheetData>
  <phoneticPr fontId="0" type="noConversion"/>
  <printOptions gridLines="1"/>
  <pageMargins left="0.31496062992125984" right="0.23622047244094491" top="0.78740157480314965" bottom="0.82677165354330717" header="0.51181102362204722" footer="0.51181102362204722"/>
  <pageSetup paperSize="5" scale="81" fitToHeight="2" orientation="landscape" horizontalDpi="4294967293" r:id="rId1"/>
  <headerFooter alignWithMargins="0">
    <oddHeader>&amp;A</oddHeader>
    <oddFooter>&amp;L&amp;8&amp;F&amp;R&amp;8Printed:  &amp;D  &amp;T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2" sqref="E12:F12"/>
    </sheetView>
  </sheetViews>
  <sheetFormatPr defaultRowHeight="15" x14ac:dyDescent="0.25"/>
  <cols>
    <col min="1" max="1" width="29.42578125" customWidth="1"/>
    <col min="2" max="2" width="11.5703125" customWidth="1"/>
    <col min="3" max="4" width="10" customWidth="1"/>
    <col min="5" max="6" width="10.85546875" customWidth="1"/>
  </cols>
  <sheetData>
    <row r="1" spans="1:25" s="48" customFormat="1" ht="50.1" customHeight="1" x14ac:dyDescent="0.25">
      <c r="A1" s="50" t="str">
        <f>'Grand Forks'!H1</f>
        <v>End</v>
      </c>
      <c r="B1" s="60" t="str">
        <f>'Grand Forks'!F1</f>
        <v>Cumul - ative from Mill</v>
      </c>
      <c r="C1" s="60" t="str">
        <f>'Grand Forks'!AB1</f>
        <v>Loaded Speed (85%)</v>
      </c>
      <c r="D1" s="61" t="str">
        <f>'Grand Forks'!AC1</f>
        <v>Empty Speed (95%)</v>
      </c>
      <c r="E1" s="48" t="str">
        <f>'Grand Forks'!AD1</f>
        <v>Loaded Time (min's)</v>
      </c>
      <c r="F1" s="48" t="str">
        <f>'Grand Forks'!AE1</f>
        <v>Empty Time (min's)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x14ac:dyDescent="0.25">
      <c r="A2" s="66" t="str">
        <f>'Grand Forks'!H2</f>
        <v>68th Ave and Hwy 3</v>
      </c>
      <c r="B2" s="52">
        <f>'Grand Forks'!F2</f>
        <v>0.83</v>
      </c>
      <c r="C2" s="52">
        <f>'Grand Forks'!AB2</f>
        <v>28.220000000000002</v>
      </c>
      <c r="D2" s="59">
        <f>'Grand Forks'!AC2</f>
        <v>31.540000000000003</v>
      </c>
      <c r="E2" s="59">
        <f>'Grand Forks'!AD2</f>
        <v>1.7647058823529409</v>
      </c>
      <c r="F2" s="59">
        <f>'Grand Forks'!AE2</f>
        <v>1.5789473684210524</v>
      </c>
    </row>
    <row r="3" spans="1:25" x14ac:dyDescent="0.25">
      <c r="A3" s="66" t="str">
        <f>'Grand Forks'!H3</f>
        <v>Hwy 3 - Gilpin FSR</v>
      </c>
      <c r="B3" s="52">
        <f>'Grand Forks'!F3</f>
        <v>7.63</v>
      </c>
      <c r="C3" s="52">
        <f>'Grand Forks'!AB3</f>
        <v>59.45454545454546</v>
      </c>
      <c r="D3" s="59">
        <f>'Grand Forks'!AC3</f>
        <v>66.44919786096257</v>
      </c>
      <c r="E3" s="59">
        <f>'Grand Forks'!AD3</f>
        <v>7.6999999999999993</v>
      </c>
      <c r="F3" s="59">
        <f>'Grand Forks'!AE3</f>
        <v>6.8894736842105253</v>
      </c>
    </row>
    <row r="4" spans="1:25" x14ac:dyDescent="0.25">
      <c r="A4" s="67" t="str">
        <f>'Grand Forks'!H4</f>
        <v>Gilpin-Dan O'Rea Jct</v>
      </c>
      <c r="B4" s="58">
        <f>'Grand Forks'!F4</f>
        <v>14.6</v>
      </c>
      <c r="C4" s="58">
        <f>'Grand Forks'!AB4</f>
        <v>28.887283690838856</v>
      </c>
      <c r="D4" s="62">
        <f>'Grand Forks'!AC4</f>
        <v>32.285787654466958</v>
      </c>
      <c r="E4" s="62">
        <f>'Grand Forks'!AD4</f>
        <v>30.324761904761907</v>
      </c>
      <c r="F4" s="62">
        <f>'Grand Forks'!AE4</f>
        <v>27.132681704260651</v>
      </c>
    </row>
    <row r="5" spans="1:25" x14ac:dyDescent="0.25">
      <c r="A5" s="66" t="str">
        <f>'Grand Forks'!H5</f>
        <v>Hwy 3 - Stewart Cr FSR</v>
      </c>
      <c r="B5" s="52">
        <f>'Grand Forks'!F5</f>
        <v>17.09</v>
      </c>
      <c r="C5" s="52">
        <f>'Grand Forks'!AB5</f>
        <v>70.797660628706041</v>
      </c>
      <c r="D5" s="59">
        <f>'Grand Forks'!AC5</f>
        <v>79.126797173259689</v>
      </c>
      <c r="E5" s="59">
        <f>'Grand Forks'!AD5</f>
        <v>14.483529411764703</v>
      </c>
      <c r="F5" s="59">
        <f>'Grand Forks'!AE5</f>
        <v>12.958947368421052</v>
      </c>
    </row>
    <row r="6" spans="1:25" x14ac:dyDescent="0.25">
      <c r="A6" s="67" t="str">
        <f>'Grand Forks'!H6</f>
        <v>Stewart-Moody Cr Jct</v>
      </c>
      <c r="B6" s="58">
        <f>'Grand Forks'!F6</f>
        <v>22.64</v>
      </c>
      <c r="C6" s="58">
        <f>'Grand Forks'!AB6</f>
        <v>55.952704012405512</v>
      </c>
      <c r="D6" s="62">
        <f>'Grand Forks'!AC6</f>
        <v>62.535375072688517</v>
      </c>
      <c r="E6" s="62">
        <f>'Grand Forks'!AD6</f>
        <v>24.277647058823526</v>
      </c>
      <c r="F6" s="62">
        <f>'Grand Forks'!AE6</f>
        <v>21.722105263157893</v>
      </c>
    </row>
    <row r="7" spans="1:25" x14ac:dyDescent="0.25">
      <c r="A7" s="67" t="str">
        <f>'Grand Forks'!H7</f>
        <v>Stewart-Stewart 1400 Jct</v>
      </c>
      <c r="B7" s="58">
        <f>'Grand Forks'!F7</f>
        <v>31.11</v>
      </c>
      <c r="C7" s="58">
        <f>'Grand Forks'!AB7</f>
        <v>44.74239305152139</v>
      </c>
      <c r="D7" s="62">
        <f>'Grand Forks'!AC7</f>
        <v>50.006203998759197</v>
      </c>
      <c r="E7" s="62">
        <f>'Grand Forks'!AD7</f>
        <v>41.718823529411765</v>
      </c>
      <c r="F7" s="62">
        <f>'Grand Forks'!AE7</f>
        <v>37.327368421052633</v>
      </c>
    </row>
    <row r="8" spans="1:25" x14ac:dyDescent="0.25">
      <c r="A8" s="66" t="str">
        <f>'Grand Forks'!H8</f>
        <v>Hwy 3 - Santa Rosa Jct</v>
      </c>
      <c r="B8" s="52">
        <f>'Grand Forks'!F8</f>
        <v>20.75</v>
      </c>
      <c r="C8" s="52">
        <f>'Grand Forks'!AB8</f>
        <v>69.903228698282092</v>
      </c>
      <c r="D8" s="59">
        <f>'Grand Forks'!AC8</f>
        <v>78.12713795690351</v>
      </c>
      <c r="E8" s="59">
        <f>'Grand Forks'!AD8</f>
        <v>17.810336134453781</v>
      </c>
      <c r="F8" s="59">
        <f>'Grand Forks'!AE8</f>
        <v>15.935563909774435</v>
      </c>
    </row>
    <row r="9" spans="1:25" x14ac:dyDescent="0.25">
      <c r="A9" s="67" t="str">
        <f>'Grand Forks'!H9</f>
        <v>Santa Rosa - Trout Creek</v>
      </c>
      <c r="B9" s="58">
        <f>'Grand Forks'!F9</f>
        <v>34.380000000000003</v>
      </c>
      <c r="C9" s="58">
        <f>'Grand Forks'!AB9</f>
        <v>44.965626391018361</v>
      </c>
      <c r="D9" s="62">
        <f>'Grand Forks'!AC9</f>
        <v>50.255700084079344</v>
      </c>
      <c r="E9" s="62">
        <f>'Grand Forks'!AD9</f>
        <v>45.875042016806709</v>
      </c>
      <c r="F9" s="62">
        <f>'Grand Forks'!AE9</f>
        <v>41.046090225563901</v>
      </c>
    </row>
    <row r="10" spans="1:25" x14ac:dyDescent="0.25">
      <c r="A10" s="66" t="str">
        <f>'Grand Forks'!H10</f>
        <v>Hwy 3 - Fife Rd</v>
      </c>
      <c r="B10" s="52">
        <f>'Grand Forks'!F10</f>
        <v>22.169999957084656</v>
      </c>
      <c r="C10" s="52">
        <f>'Grand Forks'!AB10</f>
        <v>68.703011654037127</v>
      </c>
      <c r="D10" s="59">
        <f>'Grand Forks'!AC10</f>
        <v>76.785718907453258</v>
      </c>
      <c r="E10" s="59">
        <f>'Grand Forks'!AD10</f>
        <v>19.36159660836228</v>
      </c>
      <c r="F10" s="59">
        <f>'Grand Forks'!AE10</f>
        <v>17.323533807482036</v>
      </c>
    </row>
    <row r="11" spans="1:25" x14ac:dyDescent="0.25">
      <c r="A11" s="66" t="str">
        <f>'Grand Forks'!H11</f>
        <v>Hwy 3-Paulson Detour Jct</v>
      </c>
      <c r="B11" s="52">
        <f>'Grand Forks'!F11</f>
        <v>47.689999957084652</v>
      </c>
      <c r="C11" s="52">
        <f>'Grand Forks'!AB11</f>
        <v>68.932508171953103</v>
      </c>
      <c r="D11" s="59">
        <f>'Grand Forks'!AC11</f>
        <v>77.042215015712287</v>
      </c>
      <c r="E11" s="59">
        <f>'Grand Forks'!AD11</f>
        <v>41.510168036933706</v>
      </c>
      <c r="F11" s="59">
        <f>'Grand Forks'!AE11</f>
        <v>37.140676664624898</v>
      </c>
    </row>
    <row r="12" spans="1:25" x14ac:dyDescent="0.25">
      <c r="A12" s="66" t="str">
        <f>'Grand Forks'!H12</f>
        <v>Hwy 3-Bonanza Cr Jct</v>
      </c>
      <c r="B12" s="52">
        <f>'Grand Forks'!F12</f>
        <v>51.939999957084652</v>
      </c>
      <c r="C12" s="52">
        <f>'Grand Forks'!AB12</f>
        <v>65.782288779316275</v>
      </c>
      <c r="D12" s="59">
        <f>'Grand Forks'!AC12</f>
        <v>73.521381576882888</v>
      </c>
      <c r="E12" s="59">
        <f>'Grand Forks'!AD12</f>
        <v>47.37445375121942</v>
      </c>
      <c r="F12" s="59">
        <f>'Grand Forks'!AE12</f>
        <v>42.387669145827907</v>
      </c>
    </row>
    <row r="13" spans="1:25" x14ac:dyDescent="0.25">
      <c r="A13" s="66"/>
      <c r="B13" s="52"/>
      <c r="C13" s="52"/>
      <c r="D13" s="59"/>
      <c r="E13" s="59"/>
      <c r="F13" s="59"/>
    </row>
    <row r="14" spans="1:25" x14ac:dyDescent="0.25">
      <c r="A14" s="66"/>
      <c r="B14" s="52"/>
      <c r="C14" s="52"/>
      <c r="D14" s="59"/>
      <c r="E14" s="59"/>
      <c r="F14" s="59"/>
    </row>
    <row r="15" spans="1:25" x14ac:dyDescent="0.25">
      <c r="A15" s="66" t="str">
        <f>'Grand Forks'!H15</f>
        <v>68th Ave and Hwy 3</v>
      </c>
      <c r="B15" s="52">
        <f>'Grand Forks'!F15</f>
        <v>0.83</v>
      </c>
      <c r="C15" s="52">
        <f>'Grand Forks'!AB15</f>
        <v>28.220000000000002</v>
      </c>
      <c r="D15" s="59">
        <f>'Grand Forks'!AC15</f>
        <v>31.540000000000003</v>
      </c>
      <c r="E15" s="59">
        <f>'Grand Forks'!AD15</f>
        <v>1.7647058823529409</v>
      </c>
      <c r="F15" s="59">
        <f>'Grand Forks'!AE15</f>
        <v>1.5789473684210524</v>
      </c>
    </row>
    <row r="16" spans="1:25" x14ac:dyDescent="0.25">
      <c r="A16" s="66" t="str">
        <f>'Grand Forks'!H16</f>
        <v>Hwy 3-Granby Rd Jct</v>
      </c>
      <c r="B16" s="52">
        <f>'Grand Forks'!F16</f>
        <v>1.58</v>
      </c>
      <c r="C16" s="52">
        <f>'Grand Forks'!AB16</f>
        <v>27.786206896551729</v>
      </c>
      <c r="D16" s="59">
        <f>'Grand Forks'!AC16</f>
        <v>31.055172413793109</v>
      </c>
      <c r="E16" s="59">
        <f>'Grand Forks'!AD16</f>
        <v>3.4117647058823524</v>
      </c>
      <c r="F16" s="59">
        <f>'Grand Forks'!AE16</f>
        <v>3.0526315789473681</v>
      </c>
    </row>
    <row r="17" spans="1:6" x14ac:dyDescent="0.25">
      <c r="A17" s="68" t="str">
        <f>'Grand Forks'!H17</f>
        <v>Hwy 3 - North Fork Jct</v>
      </c>
      <c r="B17" s="54">
        <f>'Grand Forks'!F17</f>
        <v>4.83</v>
      </c>
      <c r="C17" s="54">
        <f>'Grand Forks'!AB17</f>
        <v>27.992045454545451</v>
      </c>
      <c r="D17" s="63">
        <f>'Grand Forks'!AC17</f>
        <v>31.285227272727269</v>
      </c>
      <c r="E17" s="63">
        <f>'Grand Forks'!AD17</f>
        <v>10.352941176470591</v>
      </c>
      <c r="F17" s="63">
        <f>'Grand Forks'!AE17</f>
        <v>9.2631578947368425</v>
      </c>
    </row>
    <row r="18" spans="1:6" x14ac:dyDescent="0.25">
      <c r="A18" s="68" t="str">
        <f>'Grand Forks'!H18</f>
        <v>North Fork-Hummingbird Bridge</v>
      </c>
      <c r="B18" s="54">
        <f>'Grand Forks'!F18</f>
        <v>20.170000000000002</v>
      </c>
      <c r="C18" s="64">
        <f>'Grand Forks'!AB18</f>
        <v>49.742263056092845</v>
      </c>
      <c r="D18" s="63">
        <f>'Grand Forks'!AC18</f>
        <v>55.594294003868477</v>
      </c>
      <c r="E18" s="63">
        <f>'Grand Forks'!AD18</f>
        <v>24.329411764705885</v>
      </c>
      <c r="F18" s="63">
        <f>'Grand Forks'!AE18</f>
        <v>21.768421052631577</v>
      </c>
    </row>
    <row r="19" spans="1:6" x14ac:dyDescent="0.25">
      <c r="A19" s="68" t="str">
        <f>'Grand Forks'!H19</f>
        <v>Granby - Hummingbird Bridge Jct</v>
      </c>
      <c r="B19" s="64">
        <f>'Grand Forks'!F19</f>
        <v>20.73</v>
      </c>
      <c r="C19" s="64">
        <f>'Grand Forks'!AB19</f>
        <v>49.127788104089227</v>
      </c>
      <c r="D19" s="63">
        <f>'Grand Forks'!AC19</f>
        <v>54.907527881040899</v>
      </c>
      <c r="E19" s="63">
        <f>'Grand Forks'!AD19</f>
        <v>25.317647058823525</v>
      </c>
      <c r="F19" s="63">
        <f>'Grand Forks'!AE19</f>
        <v>22.652631578947368</v>
      </c>
    </row>
    <row r="20" spans="1:6" x14ac:dyDescent="0.25">
      <c r="A20" s="66" t="str">
        <f>'Grand Forks'!H20</f>
        <v>Granby-Sand Cr Jnct</v>
      </c>
      <c r="B20" s="52">
        <f>'Grand Forks'!F20</f>
        <v>7.5200000572204591</v>
      </c>
      <c r="C20" s="52">
        <f>'Grand Forks'!AB20</f>
        <v>44.517701844439856</v>
      </c>
      <c r="D20" s="65">
        <f>'Grand Forks'!AC20</f>
        <v>49.755078532021017</v>
      </c>
      <c r="E20" s="65">
        <f>'Grand Forks'!AD20</f>
        <v>10.135294158037972</v>
      </c>
      <c r="F20" s="65">
        <f>'Grand Forks'!AE20</f>
        <v>9.0684210887708172</v>
      </c>
    </row>
    <row r="21" spans="1:6" x14ac:dyDescent="0.25">
      <c r="A21" s="66" t="str">
        <f>'Grand Forks'!H21</f>
        <v>Granby - Hummingbird Bridge Jct</v>
      </c>
      <c r="B21" s="52">
        <f>'Grand Forks'!F21</f>
        <v>17.459999637603758</v>
      </c>
      <c r="C21" s="52">
        <f>'Grand Forks'!AB21</f>
        <v>49.698771697251338</v>
      </c>
      <c r="D21" s="65">
        <f>'Grand Forks'!AC21</f>
        <v>55.545686014575026</v>
      </c>
      <c r="E21" s="65">
        <f>'Grand Forks'!AD21</f>
        <v>21.078991340829546</v>
      </c>
      <c r="F21" s="65">
        <f>'Grand Forks'!AE21</f>
        <v>18.860150147058015</v>
      </c>
    </row>
    <row r="22" spans="1:6" x14ac:dyDescent="0.25">
      <c r="A22" s="69" t="str">
        <f>'Grand Forks'!H22</f>
        <v>North Fork-Hummingbird Bridge</v>
      </c>
      <c r="B22" s="58">
        <f>'Grand Forks'!F22</f>
        <v>18.019999637603757</v>
      </c>
      <c r="C22" s="56">
        <f>'Grand Forks'!AB22</f>
        <v>48.995734540740251</v>
      </c>
      <c r="D22" s="62">
        <f>'Grand Forks'!AC22</f>
        <v>54.759938604356755</v>
      </c>
      <c r="E22" s="62">
        <f>'Grand Forks'!AD22</f>
        <v>22.067226634947193</v>
      </c>
      <c r="F22" s="62">
        <f>'Grand Forks'!AE22</f>
        <v>19.744360673373802</v>
      </c>
    </row>
    <row r="23" spans="1:6" x14ac:dyDescent="0.25">
      <c r="A23" s="69" t="str">
        <f>'Grand Forks'!H23</f>
        <v>West Granby - Brown Cr Jct</v>
      </c>
      <c r="B23" s="56">
        <f>'Grand Forks'!F23</f>
        <v>19.919999637603755</v>
      </c>
      <c r="C23" s="58">
        <f>'Grand Forks'!AB23</f>
        <v>49.834898013149648</v>
      </c>
      <c r="D23" s="62">
        <f>'Grand Forks'!AC23</f>
        <v>55.697827191167256</v>
      </c>
      <c r="E23" s="62">
        <f>'Grand Forks'!AD23</f>
        <v>23.983193021501815</v>
      </c>
      <c r="F23" s="62">
        <f>'Grand Forks'!AE23</f>
        <v>21.45864638765952</v>
      </c>
    </row>
    <row r="24" spans="1:6" x14ac:dyDescent="0.25">
      <c r="A24" s="67" t="str">
        <f>'Grand Forks'!H24</f>
        <v>West Granby - Pass Cr Rd</v>
      </c>
      <c r="B24" s="58">
        <f>'Grand Forks'!F24</f>
        <v>22.889999637603754</v>
      </c>
      <c r="C24" s="58">
        <f>'Grand Forks'!AB24</f>
        <v>50.467699774207141</v>
      </c>
      <c r="D24" s="62">
        <f>'Grand Forks'!AC24</f>
        <v>56.405076218231507</v>
      </c>
      <c r="E24" s="62">
        <f>'Grand Forks'!AD24</f>
        <v>27.213445122342151</v>
      </c>
      <c r="F24" s="62">
        <f>'Grand Forks'!AE24</f>
        <v>24.34887195156929</v>
      </c>
    </row>
    <row r="25" spans="1:6" x14ac:dyDescent="0.25">
      <c r="A25" s="67" t="str">
        <f>'Grand Forks'!H25</f>
        <v>Pass Creek - Rock Candy Jct</v>
      </c>
      <c r="B25" s="58">
        <f>'Grand Forks'!F25</f>
        <v>26.059999637603752</v>
      </c>
      <c r="C25" s="58">
        <f>'Grand Forks'!AB25</f>
        <v>42.49896426820856</v>
      </c>
      <c r="D25" s="62">
        <f>'Grand Forks'!AC25</f>
        <v>47.49884241740957</v>
      </c>
      <c r="E25" s="62">
        <f>'Grand Forks'!AD25</f>
        <v>36.791484338028425</v>
      </c>
      <c r="F25" s="62">
        <f>'Grand Forks'!AE25</f>
        <v>32.918696512972801</v>
      </c>
    </row>
    <row r="26" spans="1:6" x14ac:dyDescent="0.25">
      <c r="A26" s="66" t="str">
        <f>'Grand Forks'!H26</f>
        <v>Granby - Volcanic Cr Jct</v>
      </c>
      <c r="B26" s="52">
        <f>'Grand Forks'!F26</f>
        <v>18.399999637603759</v>
      </c>
      <c r="C26" s="52">
        <f>'Grand Forks'!AB26</f>
        <v>50.189486147739622</v>
      </c>
      <c r="D26" s="59">
        <f>'Grand Forks'!AC26</f>
        <v>56.094131576885459</v>
      </c>
      <c r="E26" s="59">
        <f>'Grand Forks'!AD26</f>
        <v>21.996638399653076</v>
      </c>
      <c r="F26" s="59">
        <f>'Grand Forks'!AE26</f>
        <v>19.681202778636962</v>
      </c>
    </row>
    <row r="27" spans="1:6" x14ac:dyDescent="0.25">
      <c r="A27" s="66" t="str">
        <f>'Grand Forks'!H27</f>
        <v>Granby-Miller Cr Jct</v>
      </c>
      <c r="B27" s="52">
        <f>'Grand Forks'!F27</f>
        <v>24.619999637603758</v>
      </c>
      <c r="C27" s="52">
        <f>'Grand Forks'!AB27</f>
        <v>52.255291023546079</v>
      </c>
      <c r="D27" s="59">
        <f>'Grand Forks'!AC27</f>
        <v>58.402972320433847</v>
      </c>
      <c r="E27" s="59">
        <f>'Grand Forks'!AD27</f>
        <v>28.2689073072161</v>
      </c>
      <c r="F27" s="59">
        <f>'Grand Forks'!AE27</f>
        <v>25.293232853824932</v>
      </c>
    </row>
    <row r="28" spans="1:6" x14ac:dyDescent="0.25">
      <c r="A28" s="66" t="str">
        <f>'Grand Forks'!H28</f>
        <v>Granby-Brown Cr N. Jct</v>
      </c>
      <c r="B28" s="52">
        <f>'Grand Forks'!F28</f>
        <v>28.519999637603757</v>
      </c>
      <c r="C28" s="52">
        <f>'Grand Forks'!AB28</f>
        <v>53.963905937517268</v>
      </c>
      <c r="D28" s="59">
        <f>'Grand Forks'!AC28</f>
        <v>60.312600753695769</v>
      </c>
      <c r="E28" s="59">
        <f>'Grand Forks'!AD28</f>
        <v>31.710083777804339</v>
      </c>
      <c r="F28" s="59">
        <f>'Grand Forks'!AE28</f>
        <v>28.372180222245987</v>
      </c>
    </row>
    <row r="29" spans="1:6" x14ac:dyDescent="0.25">
      <c r="A29" s="66" t="str">
        <f>'Grand Forks'!H29</f>
        <v>Granby-Lynch Cr Jct</v>
      </c>
      <c r="B29" s="52">
        <f>'Grand Forks'!F29</f>
        <v>29.839999637603757</v>
      </c>
      <c r="C29" s="52">
        <f>'Grand Forks'!AB29</f>
        <v>53.327592956616392</v>
      </c>
      <c r="D29" s="59">
        <f>'Grand Forks'!AC29</f>
        <v>59.601427422100677</v>
      </c>
      <c r="E29" s="59">
        <f>'Grand Forks'!AD29</f>
        <v>33.573613189569045</v>
      </c>
      <c r="F29" s="59">
        <f>'Grand Forks'!AE29</f>
        <v>30.039548643298616</v>
      </c>
    </row>
    <row r="30" spans="1:6" x14ac:dyDescent="0.25">
      <c r="A30" s="66" t="str">
        <f>'Grand Forks'!H30</f>
        <v>Granby-Wiseman Jct</v>
      </c>
      <c r="B30" s="52">
        <f>'Grand Forks'!F30</f>
        <v>42.699999637603753</v>
      </c>
      <c r="C30" s="52">
        <f>'Grand Forks'!AB30</f>
        <v>49.527432757096541</v>
      </c>
      <c r="D30" s="59">
        <f>'Grand Forks'!AC30</f>
        <v>55.354189552049071</v>
      </c>
      <c r="E30" s="59">
        <f>'Grand Forks'!AD30</f>
        <v>51.728907307216097</v>
      </c>
      <c r="F30" s="59">
        <f>'Grand Forks'!AE30</f>
        <v>46.283759169614406</v>
      </c>
    </row>
    <row r="31" spans="1:6" x14ac:dyDescent="0.25">
      <c r="A31" s="66" t="str">
        <f>'Grand Forks'!H31</f>
        <v>Granby-Knappen Jct</v>
      </c>
      <c r="B31" s="52">
        <f>'Grand Forks'!F31</f>
        <v>45.009999637603755</v>
      </c>
      <c r="C31" s="52">
        <f>'Grand Forks'!AB31</f>
        <v>49.110672192615745</v>
      </c>
      <c r="D31" s="59">
        <f>'Grand Forks'!AC31</f>
        <v>54.888398332923479</v>
      </c>
      <c r="E31" s="59">
        <f>'Grand Forks'!AD31</f>
        <v>54.99008377780433</v>
      </c>
      <c r="F31" s="59">
        <f>'Grand Forks'!AE31</f>
        <v>49.201653906456507</v>
      </c>
    </row>
    <row r="32" spans="1:6" x14ac:dyDescent="0.25">
      <c r="A32" s="66" t="str">
        <f>'Grand Forks'!H32</f>
        <v>Granby-Burrell Jct</v>
      </c>
      <c r="B32" s="52">
        <f>'Grand Forks'!F32</f>
        <v>45.949999637603753</v>
      </c>
      <c r="C32" s="52">
        <f>'Grand Forks'!AB32</f>
        <v>48.668193427007743</v>
      </c>
      <c r="D32" s="59">
        <f>'Grand Forks'!AC32</f>
        <v>54.39386324194983</v>
      </c>
      <c r="E32" s="59">
        <f>'Grand Forks'!AD32</f>
        <v>56.648907307216092</v>
      </c>
      <c r="F32" s="59">
        <f>'Grand Forks'!AE32</f>
        <v>50.685864432772298</v>
      </c>
    </row>
    <row r="33" spans="1:6" x14ac:dyDescent="0.25">
      <c r="A33" s="70"/>
      <c r="B33" s="59"/>
      <c r="C33" s="59"/>
      <c r="D33" s="59"/>
      <c r="E33" s="59"/>
      <c r="F33" s="59"/>
    </row>
    <row r="34" spans="1:6" x14ac:dyDescent="0.25">
      <c r="A34" s="66" t="str">
        <f>'Grand Forks'!H34</f>
        <v>Granby-Burns Cr Jct</v>
      </c>
      <c r="B34" s="52">
        <f>'Grand Forks'!F34</f>
        <v>48.349999732971185</v>
      </c>
      <c r="C34" s="52">
        <f>'Grand Forks'!AB34</f>
        <v>47.373209420878638</v>
      </c>
      <c r="D34" s="59">
        <f>'Grand Forks'!AC34</f>
        <v>52.946528176276125</v>
      </c>
      <c r="E34" s="59">
        <f>'Grand Forks'!AD34</f>
        <v>61.237142668651934</v>
      </c>
      <c r="F34" s="59">
        <f>'Grand Forks'!AE34</f>
        <v>54.791127650899099</v>
      </c>
    </row>
    <row r="35" spans="1:6" x14ac:dyDescent="0.25">
      <c r="A35" s="66" t="str">
        <f>'Grand Forks'!H35</f>
        <v>Granby-Gable Cr Jct</v>
      </c>
      <c r="B35" s="52">
        <f>'Grand Forks'!F35</f>
        <v>49.989999732971185</v>
      </c>
      <c r="C35" s="52">
        <f>'Grand Forks'!AB35</f>
        <v>46.981722053082066</v>
      </c>
      <c r="D35" s="59">
        <f>'Grand Forks'!AC35</f>
        <v>52.508983471091724</v>
      </c>
      <c r="E35" s="59">
        <f>'Grand Forks'!AD35</f>
        <v>63.841848551004873</v>
      </c>
      <c r="F35" s="59">
        <f>'Grand Forks'!AE35</f>
        <v>57.121653966688569</v>
      </c>
    </row>
    <row r="36" spans="1:6" x14ac:dyDescent="0.25">
      <c r="A36" s="67" t="str">
        <f>'Grand Forks'!H36</f>
        <v>Gable 8 Mile Cr Jct</v>
      </c>
      <c r="B36" s="58">
        <f>'Grand Forks'!F36</f>
        <v>54.999999732971183</v>
      </c>
      <c r="C36" s="58">
        <f>'Grand Forks'!AB36</f>
        <v>42.96508297142217</v>
      </c>
      <c r="D36" s="62">
        <f>'Grand Forks'!AC36</f>
        <v>48.019798615118894</v>
      </c>
      <c r="E36" s="62">
        <f>'Grand Forks'!AD36</f>
        <v>76.806554433357803</v>
      </c>
      <c r="F36" s="62">
        <f>'Grand Forks'!AE36</f>
        <v>68.72165396668855</v>
      </c>
    </row>
    <row r="37" spans="1:6" x14ac:dyDescent="0.25">
      <c r="A37" s="67" t="str">
        <f>'Grand Forks'!H37</f>
        <v>Gable Cr-Uno Cr Jct</v>
      </c>
      <c r="B37" s="58">
        <f>'Grand Forks'!F37</f>
        <v>60.79999973297118</v>
      </c>
      <c r="C37" s="58">
        <f>'Grand Forks'!AB37</f>
        <v>40.740726744102176</v>
      </c>
      <c r="D37" s="62">
        <f>'Grand Forks'!AC37</f>
        <v>45.533753419878899</v>
      </c>
      <c r="E37" s="62">
        <f>'Grand Forks'!AD37</f>
        <v>89.541848551004861</v>
      </c>
      <c r="F37" s="62">
        <f>'Grand Forks'!AE37</f>
        <v>80.116390808793838</v>
      </c>
    </row>
    <row r="38" spans="1:6" x14ac:dyDescent="0.25">
      <c r="A38" s="66" t="str">
        <f>'Grand Forks'!H38</f>
        <v>Granby-Burns Lk Jct</v>
      </c>
      <c r="B38" s="52">
        <f>'Grand Forks'!F38</f>
        <v>55.409999732971187</v>
      </c>
      <c r="C38" s="52">
        <f>'Grand Forks'!AB38</f>
        <v>46.50205567359545</v>
      </c>
      <c r="D38" s="59">
        <f>'Grand Forks'!AC38</f>
        <v>51.972885752841975</v>
      </c>
      <c r="E38" s="59">
        <f>'Grand Forks'!AD38</f>
        <v>71.49361325688723</v>
      </c>
      <c r="F38" s="59">
        <f>'Grand Forks'!AE38</f>
        <v>63.967969756162248</v>
      </c>
    </row>
    <row r="39" spans="1:6" x14ac:dyDescent="0.25">
      <c r="A39" s="66" t="str">
        <f>'Grand Forks'!H39</f>
        <v>Granby-Traverse Cr Jct</v>
      </c>
      <c r="B39" s="52">
        <f>'Grand Forks'!F39</f>
        <v>59.519999732971186</v>
      </c>
      <c r="C39" s="52">
        <f>'Grand Forks'!AB39</f>
        <v>46.786992069137561</v>
      </c>
      <c r="D39" s="59">
        <f>'Grand Forks'!AC39</f>
        <v>52.29134407727139</v>
      </c>
      <c r="E39" s="59">
        <f>'Grand Forks'!AD39</f>
        <v>76.328907374534282</v>
      </c>
      <c r="F39" s="59">
        <f>'Grand Forks'!AE39</f>
        <v>68.294285545635944</v>
      </c>
    </row>
    <row r="40" spans="1:6" x14ac:dyDescent="0.25">
      <c r="A40" s="66" t="str">
        <f>'Grand Forks'!H40</f>
        <v>Traverse-Boulder Cr Jct</v>
      </c>
      <c r="B40" s="52">
        <f>'Grand Forks'!F40</f>
        <v>59.989999731779093</v>
      </c>
      <c r="C40" s="52">
        <f>'Grand Forks'!AB40</f>
        <v>46.649538560456598</v>
      </c>
      <c r="D40" s="59">
        <f>'Grand Forks'!AC40</f>
        <v>52.137719567569135</v>
      </c>
      <c r="E40" s="59">
        <f>'Grand Forks'!AD40</f>
        <v>77.158319138398682</v>
      </c>
      <c r="F40" s="59">
        <f>'Grand Forks'!AE40</f>
        <v>69.036390808040935</v>
      </c>
    </row>
    <row r="41" spans="1:6" x14ac:dyDescent="0.25">
      <c r="A41" s="67" t="str">
        <f>'Grand Forks'!H41</f>
        <v>Boulder-8 Mile Link Jct</v>
      </c>
      <c r="B41" s="58">
        <f>'Grand Forks'!F41</f>
        <v>66.489999731779093</v>
      </c>
      <c r="C41" s="58">
        <f>'Grand Forks'!AB41</f>
        <v>44.061965658930696</v>
      </c>
      <c r="D41" s="62">
        <f>'Grand Forks'!AC41</f>
        <v>49.245726324687247</v>
      </c>
      <c r="E41" s="62">
        <f>'Grand Forks'!AD41</f>
        <v>90.540672079575145</v>
      </c>
      <c r="F41" s="62">
        <f>'Grand Forks'!AE41</f>
        <v>81.01007501856725</v>
      </c>
    </row>
    <row r="42" spans="1:6" x14ac:dyDescent="0.25">
      <c r="A42" s="66" t="str">
        <f>'Grand Forks'!H42</f>
        <v>Traverse-Traverse 200 Jct</v>
      </c>
      <c r="B42" s="52">
        <f>'Grand Forks'!F42</f>
        <v>68.569999731779092</v>
      </c>
      <c r="C42" s="52">
        <f>'Grand Forks'!AB42</f>
        <v>45.317870303212082</v>
      </c>
      <c r="D42" s="59">
        <f>'Grand Forks'!AC42</f>
        <v>50.649384456531145</v>
      </c>
      <c r="E42" s="59">
        <f>'Grand Forks'!AD42</f>
        <v>90.785377961928091</v>
      </c>
      <c r="F42" s="59">
        <f>'Grand Forks'!AE42</f>
        <v>81.229022386988305</v>
      </c>
    </row>
    <row r="43" spans="1:6" x14ac:dyDescent="0.25">
      <c r="A43" s="66"/>
      <c r="B43" s="52"/>
      <c r="C43" s="52"/>
      <c r="D43" s="59"/>
      <c r="E43" s="59"/>
      <c r="F43" s="59"/>
    </row>
    <row r="44" spans="1:6" x14ac:dyDescent="0.25">
      <c r="A44" s="66" t="str">
        <f>'Grand Forks'!H44</f>
        <v>Burrell-Deadeye Jct</v>
      </c>
      <c r="B44" s="52">
        <f>'Grand Forks'!F44</f>
        <v>56.179999637603757</v>
      </c>
      <c r="C44" s="52">
        <f>'Grand Forks'!AB44</f>
        <v>45.123381103378414</v>
      </c>
      <c r="D44" s="59">
        <f>'Grand Forks'!AC44</f>
        <v>50.432014174364106</v>
      </c>
      <c r="E44" s="59">
        <f>'Grand Forks'!AD44</f>
        <v>74.701848483686703</v>
      </c>
      <c r="F44" s="59">
        <f>'Grand Forks'!AE44</f>
        <v>66.838496011719684</v>
      </c>
    </row>
    <row r="45" spans="1:6" x14ac:dyDescent="0.25">
      <c r="A45" s="67" t="str">
        <f>'Grand Forks'!H45</f>
        <v>Deadeye-Deadeye 400 Jct</v>
      </c>
      <c r="B45" s="58">
        <f>'Grand Forks'!F45</f>
        <v>60.239999637603759</v>
      </c>
      <c r="C45" s="58">
        <f>'Grand Forks'!AB45</f>
        <v>43.646858128466192</v>
      </c>
      <c r="D45" s="62">
        <f>'Grand Forks'!AC45</f>
        <v>48.781782614168094</v>
      </c>
      <c r="E45" s="62">
        <f>'Grand Forks'!AD45</f>
        <v>82.810083777804337</v>
      </c>
      <c r="F45" s="62">
        <f>'Grand Forks'!AE45</f>
        <v>74.093232853824944</v>
      </c>
    </row>
    <row r="46" spans="1:6" x14ac:dyDescent="0.25">
      <c r="A46" s="67" t="str">
        <f>'Grand Forks'!H46</f>
        <v>Deadeye-Park Main Jct</v>
      </c>
      <c r="B46" s="58">
        <f>'Grand Forks'!F46</f>
        <v>65.589999637603754</v>
      </c>
      <c r="C46" s="58">
        <f>'Grand Forks'!AB46</f>
        <v>41.27113060898062</v>
      </c>
      <c r="D46" s="62">
        <f>'Grand Forks'!AC46</f>
        <v>46.126557739448927</v>
      </c>
      <c r="E46" s="62">
        <f>'Grand Forks'!AD46</f>
        <v>95.354789660157266</v>
      </c>
      <c r="F46" s="62">
        <f>'Grand Forks'!AE46</f>
        <v>85.317443380140716</v>
      </c>
    </row>
    <row r="47" spans="1:6" x14ac:dyDescent="0.25">
      <c r="A47" s="67" t="str">
        <f>'Grand Forks'!H47</f>
        <v>Deadeye-Deadeye 2000 Jct</v>
      </c>
      <c r="B47" s="58">
        <f>'Grand Forks'!F47</f>
        <v>72.589999637603754</v>
      </c>
      <c r="C47" s="58">
        <f>'Grand Forks'!AB47</f>
        <v>40.032734053964141</v>
      </c>
      <c r="D47" s="62">
        <f>'Grand Forks'!AC47</f>
        <v>44.742467472077571</v>
      </c>
      <c r="E47" s="62">
        <f>'Grand Forks'!AD47</f>
        <v>108.79596613074551</v>
      </c>
      <c r="F47" s="62">
        <f>'Grand Forks'!AE47</f>
        <v>97.343759169614401</v>
      </c>
    </row>
    <row r="48" spans="1:6" x14ac:dyDescent="0.25">
      <c r="A48" s="66" t="str">
        <f>'Grand Forks'!H48</f>
        <v>Burrell-Nicoll Cr Jct</v>
      </c>
      <c r="B48" s="52">
        <f>'Grand Forks'!F48</f>
        <v>66.079999637603763</v>
      </c>
      <c r="C48" s="52">
        <f>'Grand Forks'!AB48</f>
        <v>43.015028346752665</v>
      </c>
      <c r="D48" s="59">
        <f>'Grand Forks'!AC48</f>
        <v>48.075619916958864</v>
      </c>
      <c r="E48" s="59">
        <f>'Grand Forks'!AD48</f>
        <v>92.172436718980805</v>
      </c>
      <c r="F48" s="59">
        <f>'Grand Forks'!AE48</f>
        <v>82.47007495908808</v>
      </c>
    </row>
    <row r="49" spans="1:6" x14ac:dyDescent="0.25">
      <c r="A49" s="66" t="str">
        <f>'Grand Forks'!H49</f>
        <v>Burrell-Dinsmore By Pass</v>
      </c>
      <c r="B49" s="52">
        <f>'Grand Forks'!F49</f>
        <v>68.589999637603768</v>
      </c>
      <c r="C49" s="52">
        <f>'Grand Forks'!AB49</f>
        <v>42.601669045196381</v>
      </c>
      <c r="D49" s="59">
        <f>'Grand Forks'!AC49</f>
        <v>47.61363010933713</v>
      </c>
      <c r="E49" s="59">
        <f>'Grand Forks'!AD49</f>
        <v>96.60184848368668</v>
      </c>
      <c r="F49" s="59">
        <f>'Grand Forks'!AE49</f>
        <v>86.433232853824933</v>
      </c>
    </row>
    <row r="50" spans="1:6" x14ac:dyDescent="0.25">
      <c r="A50" s="66" t="str">
        <f>'Grand Forks'!H50</f>
        <v>Burrell 25K</v>
      </c>
      <c r="B50" s="52">
        <f>'Grand Forks'!F50</f>
        <v>70.799999637603761</v>
      </c>
      <c r="C50" s="52">
        <f>'Grand Forks'!AB50</f>
        <v>42.267879072351143</v>
      </c>
      <c r="D50" s="59">
        <f>'Grand Forks'!AC50</f>
        <v>47.240570727921863</v>
      </c>
      <c r="E50" s="59">
        <f>'Grand Forks'!AD50</f>
        <v>100.50184848368669</v>
      </c>
      <c r="F50" s="59">
        <f>'Grand Forks'!AE50</f>
        <v>89.922706538035456</v>
      </c>
    </row>
    <row r="51" spans="1:6" x14ac:dyDescent="0.25">
      <c r="A51" s="66" t="str">
        <f>'Grand Forks'!H51</f>
        <v>Burrell - T-Bone Jct</v>
      </c>
      <c r="B51" s="52">
        <f>'Grand Forks'!F51</f>
        <v>72.309999637603767</v>
      </c>
      <c r="C51" s="52">
        <f>'Grand Forks'!AB51</f>
        <v>42.054326665429535</v>
      </c>
      <c r="D51" s="59">
        <f>'Grand Forks'!AC51</f>
        <v>47.001894508421245</v>
      </c>
      <c r="E51" s="59">
        <f>'Grand Forks'!AD51</f>
        <v>103.16655436603962</v>
      </c>
      <c r="F51" s="59">
        <f>'Grand Forks'!AE51</f>
        <v>92.306917064351239</v>
      </c>
    </row>
    <row r="52" spans="1:6" x14ac:dyDescent="0.25">
      <c r="A52" s="66" t="str">
        <f>'Grand Forks'!H52</f>
        <v>Burrell - Tenderloin</v>
      </c>
      <c r="B52" s="52">
        <f>'Grand Forks'!F52</f>
        <v>74.289999637603771</v>
      </c>
      <c r="C52" s="52">
        <f>'Grand Forks'!AB52</f>
        <v>41.790473415626295</v>
      </c>
      <c r="D52" s="59">
        <f>'Grand Forks'!AC52</f>
        <v>46.706999699817622</v>
      </c>
      <c r="E52" s="59">
        <f>'Grand Forks'!AD52</f>
        <v>106.66067201309845</v>
      </c>
      <c r="F52" s="59">
        <f>'Grand Forks'!AE52</f>
        <v>95.433232853824919</v>
      </c>
    </row>
    <row r="53" spans="1:6" x14ac:dyDescent="0.25">
      <c r="A53" s="66" t="str">
        <f>'Grand Forks'!H53</f>
        <v>Burrell-McFarlane Cr S Jct</v>
      </c>
      <c r="B53" s="52">
        <f>'Grand Forks'!F53</f>
        <v>79.359999637603778</v>
      </c>
      <c r="C53" s="52">
        <f>'Grand Forks'!AB53</f>
        <v>41.187556781865446</v>
      </c>
      <c r="D53" s="59">
        <f>'Grand Forks'!AC53</f>
        <v>46.033151697379026</v>
      </c>
      <c r="E53" s="59">
        <f>'Grand Forks'!AD53</f>
        <v>115.60773083662785</v>
      </c>
      <c r="F53" s="59">
        <f>'Grand Forks'!AE53</f>
        <v>103.43849601171966</v>
      </c>
    </row>
    <row r="54" spans="1:6" x14ac:dyDescent="0.25">
      <c r="A54" s="66" t="str">
        <f>'Grand Forks'!H54</f>
        <v>Burrell-Jump Cr Jct</v>
      </c>
      <c r="B54" s="52">
        <f>'Grand Forks'!F54</f>
        <v>81.119999628067035</v>
      </c>
      <c r="C54" s="52">
        <f>'Grand Forks'!AB54</f>
        <v>40.999510057770593</v>
      </c>
      <c r="D54" s="59">
        <f>'Grand Forks'!AC54</f>
        <v>45.822981829273012</v>
      </c>
      <c r="E54" s="59">
        <f>'Grand Forks'!AD54</f>
        <v>118.71361318283721</v>
      </c>
      <c r="F54" s="59">
        <f>'Grand Forks'!AE54</f>
        <v>106.21744337411752</v>
      </c>
    </row>
    <row r="55" spans="1:6" x14ac:dyDescent="0.25">
      <c r="A55" s="66" t="str">
        <f>'Grand Forks'!H55</f>
        <v>Burrell-Young FSR  Jct</v>
      </c>
      <c r="B55" s="52">
        <f>'Grand Forks'!F55</f>
        <v>87.399999628067036</v>
      </c>
      <c r="C55" s="52">
        <f>'Grand Forks'!AB55</f>
        <v>40.401871755194897</v>
      </c>
      <c r="D55" s="59">
        <f>'Grand Forks'!AC55</f>
        <v>45.155033138158998</v>
      </c>
      <c r="E55" s="59">
        <f>'Grand Forks'!AD55</f>
        <v>129.79596612401369</v>
      </c>
      <c r="F55" s="59">
        <f>'Grand Forks'!AE55</f>
        <v>116.13323284780172</v>
      </c>
    </row>
    <row r="56" spans="1:6" x14ac:dyDescent="0.25">
      <c r="A56" s="67" t="str">
        <f>'Grand Forks'!H56</f>
        <v>POC Edgewood 700</v>
      </c>
      <c r="B56" s="58">
        <f>'Grand Forks'!F56</f>
        <v>93.85999962806703</v>
      </c>
      <c r="C56" s="58">
        <f>'Grand Forks'!AB56</f>
        <v>38.83970104980277</v>
      </c>
      <c r="D56" s="62">
        <f>'Grand Forks'!AC56</f>
        <v>43.409077643897213</v>
      </c>
      <c r="E56" s="62">
        <f>'Grand Forks'!AD56</f>
        <v>144.99596612401371</v>
      </c>
      <c r="F56" s="62">
        <f>'Grand Forks'!AE56</f>
        <v>129.73323284780173</v>
      </c>
    </row>
    <row r="57" spans="1:6" x14ac:dyDescent="0.25">
      <c r="A57" s="66" t="str">
        <f>'Grand Forks'!H57</f>
        <v>Burrell-McFarlane Cr N Jct</v>
      </c>
      <c r="B57" s="52">
        <f>'Grand Forks'!F57</f>
        <v>91.35999962806703</v>
      </c>
      <c r="C57" s="52">
        <f>'Grand Forks'!AB57</f>
        <v>39.923715802005894</v>
      </c>
      <c r="D57" s="59">
        <f>'Grand Forks'!AC57</f>
        <v>44.620623543418354</v>
      </c>
      <c r="E57" s="59">
        <f>'Grand Forks'!AD57</f>
        <v>137.30184847695489</v>
      </c>
      <c r="F57" s="59">
        <f>'Grand Forks'!AE57</f>
        <v>122.84902232148593</v>
      </c>
    </row>
    <row r="58" spans="1:6" x14ac:dyDescent="0.25">
      <c r="A58" s="66" t="str">
        <f>'Grand Forks'!H58</f>
        <v>Young Lake Jct</v>
      </c>
      <c r="B58" s="52">
        <f>'Grand Forks'!F58</f>
        <v>95.959999628067024</v>
      </c>
      <c r="C58" s="52">
        <f>'Grand Forks'!AB58</f>
        <v>38.77737850167955</v>
      </c>
      <c r="D58" s="59">
        <f>'Grand Forks'!AC58</f>
        <v>43.339423031288902</v>
      </c>
      <c r="E58" s="59">
        <f>'Grand Forks'!AD58</f>
        <v>148.47831906519016</v>
      </c>
      <c r="F58" s="59">
        <f>'Grand Forks'!AE58</f>
        <v>132.84902232148593</v>
      </c>
    </row>
    <row r="59" spans="1:6" x14ac:dyDescent="0.25">
      <c r="A59" s="67" t="str">
        <f>'Grand Forks'!H59</f>
        <v>Young Lake 3500 Jct</v>
      </c>
      <c r="B59" s="58">
        <f>'Grand Forks'!F59</f>
        <v>99.459999628067024</v>
      </c>
      <c r="C59" s="58">
        <f>'Grand Forks'!AB59</f>
        <v>36.816182476500678</v>
      </c>
      <c r="D59" s="62">
        <f>'Grand Forks'!AC59</f>
        <v>41.147498061971341</v>
      </c>
      <c r="E59" s="62">
        <f>'Grand Forks'!AD59</f>
        <v>162.09176444334139</v>
      </c>
      <c r="F59" s="62">
        <f>'Grand Forks'!AE59</f>
        <v>145.0294734493055</v>
      </c>
    </row>
    <row r="60" spans="1:6" x14ac:dyDescent="0.25">
      <c r="A60" s="66" t="str">
        <f>'Grand Forks'!H60</f>
        <v>Thomas Jct</v>
      </c>
      <c r="B60" s="52">
        <f>'Grand Forks'!F60</f>
        <v>97.419999628067018</v>
      </c>
      <c r="C60" s="52">
        <f>'Grand Forks'!AB60</f>
        <v>38.189266922573147</v>
      </c>
      <c r="D60" s="59">
        <f>'Grand Forks'!AC60</f>
        <v>42.682121854640577</v>
      </c>
      <c r="E60" s="59">
        <f>'Grand Forks'!AD60</f>
        <v>153.05871122205292</v>
      </c>
      <c r="F60" s="59">
        <f>'Grand Forks'!AE60</f>
        <v>136.94726793552104</v>
      </c>
    </row>
    <row r="61" spans="1:6" x14ac:dyDescent="0.25">
      <c r="A61" s="67" t="str">
        <f>'Grand Forks'!H61</f>
        <v>Thomas 1000 Jct</v>
      </c>
      <c r="B61" s="58">
        <f>'Grand Forks'!F61</f>
        <v>98.639999628067017</v>
      </c>
      <c r="C61" s="58">
        <f>'Grand Forks'!AB61</f>
        <v>37.724168241472753</v>
      </c>
      <c r="D61" s="62">
        <f>'Grand Forks'!AC61</f>
        <v>42.162305681646018</v>
      </c>
      <c r="E61" s="62">
        <f>'Grand Forks'!AD61</f>
        <v>156.88616220244506</v>
      </c>
      <c r="F61" s="62">
        <f>'Grand Forks'!AE61</f>
        <v>140.37182933902977</v>
      </c>
    </row>
    <row r="62" spans="1:6" x14ac:dyDescent="0.25">
      <c r="A62" s="66"/>
      <c r="B62" s="52"/>
      <c r="C62" s="52"/>
      <c r="D62" s="59"/>
      <c r="E62" s="59"/>
      <c r="F62" s="59"/>
    </row>
    <row r="63" spans="1:6" x14ac:dyDescent="0.25">
      <c r="A63" s="66"/>
      <c r="B63" s="52"/>
      <c r="C63" s="52"/>
      <c r="D63" s="59"/>
      <c r="E63" s="59"/>
      <c r="F63" s="59"/>
    </row>
    <row r="64" spans="1:6" x14ac:dyDescent="0.25">
      <c r="A64" s="66"/>
      <c r="B64" s="52"/>
      <c r="C64" s="52"/>
      <c r="D64" s="59"/>
      <c r="E64" s="59"/>
      <c r="F64" s="59"/>
    </row>
    <row r="65" spans="1:6" x14ac:dyDescent="0.25">
      <c r="A65" s="66" t="str">
        <f>'Grand Forks'!H64</f>
        <v>68th Ave and Hwy 3</v>
      </c>
      <c r="B65" s="52">
        <f>'Grand Forks'!F64</f>
        <v>0.83</v>
      </c>
      <c r="C65" s="52">
        <f>'Grand Forks'!AB64</f>
        <v>22.278947368421054</v>
      </c>
      <c r="D65" s="59">
        <f>'Grand Forks'!AC64</f>
        <v>24.900000000000002</v>
      </c>
      <c r="E65" s="59">
        <f>'Grand Forks'!AD64</f>
        <v>2.2352941176470584</v>
      </c>
      <c r="F65" s="59">
        <f>'Grand Forks'!AE64</f>
        <v>1.9999999999999996</v>
      </c>
    </row>
    <row r="66" spans="1:6" x14ac:dyDescent="0.25">
      <c r="A66" s="66" t="str">
        <f>'Grand Forks'!H65</f>
        <v>Hwy 3-Granby Rd Jct</v>
      </c>
      <c r="B66" s="52">
        <f>'Grand Forks'!F65</f>
        <v>1.58</v>
      </c>
      <c r="C66" s="52">
        <f>'Grand Forks'!AB65</f>
        <v>24.418181818181822</v>
      </c>
      <c r="D66" s="59">
        <f>'Grand Forks'!AC65</f>
        <v>27.290909090909093</v>
      </c>
      <c r="E66" s="59">
        <f>'Grand Forks'!AD65</f>
        <v>3.8823529411764701</v>
      </c>
      <c r="F66" s="59">
        <f>'Grand Forks'!AE65</f>
        <v>3.4736842105263159</v>
      </c>
    </row>
    <row r="67" spans="1:6" x14ac:dyDescent="0.25">
      <c r="A67" s="66" t="str">
        <f>'Grand Forks'!H66</f>
        <v>Hwy 3 - City of Paris Jct</v>
      </c>
      <c r="B67" s="52">
        <f>'Grand Forks'!F66</f>
        <v>11.040000000000001</v>
      </c>
      <c r="C67" s="52">
        <f>'Grand Forks'!AB66</f>
        <v>40.052844454381002</v>
      </c>
      <c r="D67" s="59">
        <f>'Grand Forks'!AC66</f>
        <v>44.764943801955241</v>
      </c>
      <c r="E67" s="59">
        <f>'Grand Forks'!AD66</f>
        <v>16.538151260504208</v>
      </c>
      <c r="F67" s="59">
        <f>'Grand Forks'!AE66</f>
        <v>14.79729323308271</v>
      </c>
    </row>
    <row r="68" spans="1:6" x14ac:dyDescent="0.25">
      <c r="A68" s="66" t="str">
        <f>'Grand Forks'!H67</f>
        <v>Hwy 3 - Skeff Cr Jct</v>
      </c>
      <c r="B68" s="52">
        <f>'Grand Forks'!F67</f>
        <v>16.34</v>
      </c>
      <c r="C68" s="52">
        <f>'Grand Forks'!AB67</f>
        <v>48.344797865110799</v>
      </c>
      <c r="D68" s="59">
        <f>'Grand Forks'!AC67</f>
        <v>54.032421143359123</v>
      </c>
      <c r="E68" s="59">
        <f>'Grand Forks'!AD67</f>
        <v>20.27932773109244</v>
      </c>
      <c r="F68" s="59">
        <f>'Grand Forks'!AE67</f>
        <v>18.144661654135341</v>
      </c>
    </row>
    <row r="69" spans="1:6" x14ac:dyDescent="0.25">
      <c r="A69" s="66" t="str">
        <f>'Grand Forks'!H68</f>
        <v>Hwy 3 - Phoenix-Ski Hill Jct</v>
      </c>
      <c r="B69" s="52">
        <f>'Grand Forks'!F68</f>
        <v>22.3</v>
      </c>
      <c r="C69" s="52">
        <f>'Grand Forks'!AB68</f>
        <v>54.56395986402017</v>
      </c>
      <c r="D69" s="59">
        <f>'Grand Forks'!AC68</f>
        <v>60.98324925978725</v>
      </c>
      <c r="E69" s="59">
        <f>'Grand Forks'!AD68</f>
        <v>24.521680672268914</v>
      </c>
      <c r="F69" s="59">
        <f>'Grand Forks'!AE68</f>
        <v>21.940451127819554</v>
      </c>
    </row>
    <row r="70" spans="1:6" x14ac:dyDescent="0.25">
      <c r="A70" s="66" t="str">
        <f>'Grand Forks'!H69</f>
        <v>Hwy 3 - Fisherman Jct</v>
      </c>
      <c r="B70" s="52">
        <f>'Grand Forks'!F69</f>
        <v>24.310000000000002</v>
      </c>
      <c r="C70" s="52">
        <f>'Grand Forks'!AB69</f>
        <v>56.228668057481237</v>
      </c>
      <c r="D70" s="59">
        <f>'Grand Forks'!AC69</f>
        <v>62.843805476008441</v>
      </c>
      <c r="E70" s="59">
        <f>'Grand Forks'!AD69</f>
        <v>25.940504201680678</v>
      </c>
      <c r="F70" s="59">
        <f>'Grand Forks'!AE69</f>
        <v>23.209924812030081</v>
      </c>
    </row>
    <row r="71" spans="1:6" x14ac:dyDescent="0.25">
      <c r="A71" s="66" t="str">
        <f>'Grand Forks'!H70</f>
        <v>Hwy 3 - Eholt Jct</v>
      </c>
      <c r="B71" s="52">
        <f>'Grand Forks'!F70</f>
        <v>29.650000000000002</v>
      </c>
      <c r="C71" s="52">
        <f>'Grand Forks'!AB70</f>
        <v>57.753752475733712</v>
      </c>
      <c r="D71" s="59">
        <f>'Grand Forks'!AC70</f>
        <v>64.548311590525913</v>
      </c>
      <c r="E71" s="59">
        <f>'Grand Forks'!AD70</f>
        <v>30.803193277310928</v>
      </c>
      <c r="F71" s="59">
        <f>'Grand Forks'!AE70</f>
        <v>27.560751879699254</v>
      </c>
    </row>
    <row r="72" spans="1:6" x14ac:dyDescent="0.25">
      <c r="B72" s="46"/>
      <c r="C72" s="47"/>
      <c r="D72" s="47"/>
      <c r="E72" s="47"/>
      <c r="F72" s="47"/>
    </row>
    <row r="73" spans="1:6" x14ac:dyDescent="0.25">
      <c r="B73" s="46"/>
      <c r="C73" s="47"/>
      <c r="D73" s="47"/>
      <c r="E73" s="47"/>
      <c r="F73" s="47"/>
    </row>
  </sheetData>
  <phoneticPr fontId="0" type="noConversion"/>
  <printOptions horizontalCentered="1" gridLines="1"/>
  <pageMargins left="0.33" right="0.22" top="0.78" bottom="0.82" header="0.5" footer="0.5"/>
  <pageSetup fitToHeight="2" orientation="portrait" horizontalDpi="4294967293" r:id="rId1"/>
  <headerFooter alignWithMargins="0">
    <oddHeader>&amp;A</oddHeader>
    <oddFooter>&amp;L&amp;8&amp;F&amp;R&amp;8Printed: 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101"/>
  <sheetViews>
    <sheetView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G73" sqref="G73"/>
    </sheetView>
  </sheetViews>
  <sheetFormatPr defaultRowHeight="15" x14ac:dyDescent="0.25"/>
  <cols>
    <col min="1" max="1" width="7.28515625" style="8" customWidth="1"/>
    <col min="2" max="2" width="6.85546875" style="8" customWidth="1"/>
    <col min="3" max="4" width="5.140625" style="8" customWidth="1"/>
    <col min="5" max="5" width="7.85546875" style="5" customWidth="1"/>
    <col min="6" max="6" width="8.28515625" style="5" customWidth="1"/>
    <col min="7" max="7" width="23.140625" style="2" customWidth="1"/>
    <col min="8" max="8" width="24.28515625" style="2" customWidth="1"/>
    <col min="9" max="9" width="6.5703125" style="2" customWidth="1"/>
    <col min="10" max="22" width="5.28515625" style="2" customWidth="1"/>
    <col min="23" max="23" width="5" style="2" customWidth="1"/>
    <col min="24" max="24" width="5.7109375" style="2" customWidth="1"/>
    <col min="25" max="25" width="5.42578125" style="21" customWidth="1"/>
    <col min="26" max="27" width="5.5703125" style="21" customWidth="1"/>
    <col min="28" max="28" width="6.85546875" style="2" customWidth="1"/>
    <col min="29" max="31" width="6.5703125" style="2" customWidth="1"/>
  </cols>
  <sheetData>
    <row r="1" spans="1:31" ht="39.950000000000003" customHeigh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4" t="s">
        <v>4</v>
      </c>
      <c r="F1" s="4" t="s">
        <v>184</v>
      </c>
      <c r="G1" s="15" t="s">
        <v>2</v>
      </c>
      <c r="H1" s="15" t="s">
        <v>3</v>
      </c>
      <c r="I1" s="19" t="s">
        <v>5</v>
      </c>
      <c r="J1" s="16">
        <v>100</v>
      </c>
      <c r="K1" s="16">
        <v>90</v>
      </c>
      <c r="L1" s="16">
        <v>80</v>
      </c>
      <c r="M1" s="16">
        <v>70</v>
      </c>
      <c r="N1" s="16">
        <v>60</v>
      </c>
      <c r="O1" s="16">
        <v>50</v>
      </c>
      <c r="P1" s="16">
        <v>40</v>
      </c>
      <c r="Q1" s="16">
        <v>30</v>
      </c>
      <c r="R1" s="16">
        <v>25</v>
      </c>
      <c r="S1" s="16">
        <v>22.5</v>
      </c>
      <c r="T1" s="16">
        <v>20</v>
      </c>
      <c r="U1" s="16">
        <v>17.5</v>
      </c>
      <c r="V1" s="16">
        <v>15</v>
      </c>
      <c r="W1" s="16" t="s">
        <v>6</v>
      </c>
      <c r="X1" s="16" t="s">
        <v>7</v>
      </c>
      <c r="Y1" s="20" t="s">
        <v>8</v>
      </c>
      <c r="Z1" s="20" t="s">
        <v>9</v>
      </c>
      <c r="AA1" s="20" t="s">
        <v>10</v>
      </c>
      <c r="AB1" s="16" t="s">
        <v>11</v>
      </c>
      <c r="AC1" s="16" t="s">
        <v>12</v>
      </c>
      <c r="AD1" s="16" t="s">
        <v>13</v>
      </c>
      <c r="AE1" s="16" t="s">
        <v>14</v>
      </c>
    </row>
    <row r="2" spans="1:31" x14ac:dyDescent="0.25">
      <c r="A2" s="10" t="s">
        <v>185</v>
      </c>
      <c r="B2" s="10"/>
      <c r="C2" s="10" t="s">
        <v>186</v>
      </c>
      <c r="D2" s="10" t="s">
        <v>187</v>
      </c>
      <c r="E2" s="6">
        <v>0.22</v>
      </c>
      <c r="F2" s="6">
        <f>E2</f>
        <v>0.22</v>
      </c>
      <c r="G2" s="1" t="s">
        <v>188</v>
      </c>
      <c r="H2" s="1" t="s">
        <v>189</v>
      </c>
      <c r="I2" s="17">
        <f t="shared" ref="I2:I30" si="0">E2</f>
        <v>0.22</v>
      </c>
      <c r="J2" s="17">
        <f>I2-SUM(K2:V2)</f>
        <v>0</v>
      </c>
      <c r="T2" s="2">
        <v>0.22</v>
      </c>
      <c r="W2" s="17">
        <f t="shared" ref="W2:W30" si="1">(J2/J$1+K2/K$1+L2/L$1+M2/M$1+N2/N$1+O2/O$1+P2/P$1+Q2/Q$1+R2/R$1+S2/S$1+T2/T$1+U2/U$1+V2/V$1)*60</f>
        <v>0.65999999999999992</v>
      </c>
      <c r="X2" s="6">
        <f>W2+0.5</f>
        <v>1.1599999999999999</v>
      </c>
      <c r="Y2" s="72"/>
      <c r="Z2" s="21">
        <f>I2/W2*60</f>
        <v>20.000000000000004</v>
      </c>
      <c r="AA2" s="21">
        <f>F2/X2*60</f>
        <v>11.379310344827587</v>
      </c>
      <c r="AB2" s="18">
        <f t="shared" ref="AB2:AB18" si="2">AA2*0.85</f>
        <v>9.6724137931034484</v>
      </c>
      <c r="AC2" s="18">
        <f t="shared" ref="AC2:AC30" si="3">AA2*0.95</f>
        <v>10.810344827586208</v>
      </c>
      <c r="AD2" s="18">
        <f t="shared" ref="AD2:AD30" si="4">$F2/AB2*60</f>
        <v>1.364705882352941</v>
      </c>
      <c r="AE2" s="18">
        <f t="shared" ref="AE2:AE30" si="5">$F2/AC2*60</f>
        <v>1.2210526315789472</v>
      </c>
    </row>
    <row r="3" spans="1:31" x14ac:dyDescent="0.25">
      <c r="A3" s="10" t="s">
        <v>185</v>
      </c>
      <c r="B3" s="10" t="s">
        <v>190</v>
      </c>
      <c r="C3" s="10" t="s">
        <v>187</v>
      </c>
      <c r="D3" s="10" t="s">
        <v>191</v>
      </c>
      <c r="E3" s="6">
        <v>4.21</v>
      </c>
      <c r="F3" s="6">
        <f>F2+E3</f>
        <v>4.43</v>
      </c>
      <c r="G3" s="1" t="s">
        <v>189</v>
      </c>
      <c r="H3" s="1" t="s">
        <v>192</v>
      </c>
      <c r="I3" s="17">
        <f>E3</f>
        <v>4.21</v>
      </c>
      <c r="J3" s="17">
        <f>I3-SUM(K3:V3)</f>
        <v>2.91</v>
      </c>
      <c r="M3" s="2">
        <v>1.3</v>
      </c>
      <c r="W3" s="17">
        <f t="shared" si="1"/>
        <v>2.8602857142857143</v>
      </c>
      <c r="X3" s="6">
        <f>W3+X2</f>
        <v>4.0202857142857145</v>
      </c>
      <c r="Y3" s="72"/>
      <c r="Z3" s="21">
        <f>I3/W3*60</f>
        <v>88.312855858555579</v>
      </c>
      <c r="AA3" s="21">
        <f>F3/X3*60</f>
        <v>66.114704001137085</v>
      </c>
      <c r="AB3" s="18">
        <f>AA3*0.85</f>
        <v>56.197498400966523</v>
      </c>
      <c r="AC3" s="18">
        <f t="shared" si="3"/>
        <v>62.808968801080226</v>
      </c>
      <c r="AD3" s="18">
        <f>$F3/AB3*60</f>
        <v>4.7297478991596638</v>
      </c>
      <c r="AE3" s="18">
        <f t="shared" si="5"/>
        <v>4.2318796992481209</v>
      </c>
    </row>
    <row r="4" spans="1:31" x14ac:dyDescent="0.25">
      <c r="A4" s="11" t="s">
        <v>185</v>
      </c>
      <c r="B4" s="11" t="s">
        <v>193</v>
      </c>
      <c r="C4" s="11" t="s">
        <v>191</v>
      </c>
      <c r="D4" s="11" t="s">
        <v>194</v>
      </c>
      <c r="E4" s="7">
        <v>10.039999999999999</v>
      </c>
      <c r="F4" s="7">
        <f>F3+E4</f>
        <v>14.469999999999999</v>
      </c>
      <c r="G4" s="3" t="s">
        <v>192</v>
      </c>
      <c r="H4" s="3" t="s">
        <v>195</v>
      </c>
      <c r="I4" s="22">
        <f t="shared" si="0"/>
        <v>10.039999999999999</v>
      </c>
      <c r="J4" s="22">
        <f>I4-SUM(K4:V4)</f>
        <v>0</v>
      </c>
      <c r="K4" s="23"/>
      <c r="L4" s="23"/>
      <c r="M4" s="23">
        <v>2.62</v>
      </c>
      <c r="N4" s="23">
        <v>4.42</v>
      </c>
      <c r="O4" s="23">
        <v>3</v>
      </c>
      <c r="P4" s="23"/>
      <c r="Q4" s="23"/>
      <c r="R4" s="23"/>
      <c r="S4" s="23"/>
      <c r="T4" s="23"/>
      <c r="U4" s="23"/>
      <c r="V4" s="23"/>
      <c r="W4" s="22">
        <f t="shared" si="1"/>
        <v>10.265714285714287</v>
      </c>
      <c r="X4" s="7">
        <f>X3+W4</f>
        <v>14.286000000000001</v>
      </c>
      <c r="Y4" s="73"/>
      <c r="Z4" s="24">
        <f t="shared" ref="Z4:Z19" si="6">I4/W4*60</f>
        <v>58.680768160311708</v>
      </c>
      <c r="AA4" s="24">
        <f t="shared" ref="AA4:AA19" si="7">F4/X4*60</f>
        <v>60.772784544309097</v>
      </c>
      <c r="AB4" s="25">
        <f t="shared" si="2"/>
        <v>51.656866862662731</v>
      </c>
      <c r="AC4" s="25">
        <f t="shared" si="3"/>
        <v>57.734145317093642</v>
      </c>
      <c r="AD4" s="25">
        <f t="shared" si="4"/>
        <v>16.807058823529417</v>
      </c>
      <c r="AE4" s="25">
        <f t="shared" si="5"/>
        <v>15.037894736842109</v>
      </c>
    </row>
    <row r="5" spans="1:31" x14ac:dyDescent="0.25">
      <c r="A5" s="10" t="s">
        <v>185</v>
      </c>
      <c r="B5" s="10" t="s">
        <v>196</v>
      </c>
      <c r="C5" s="10" t="s">
        <v>191</v>
      </c>
      <c r="D5" s="10" t="s">
        <v>197</v>
      </c>
      <c r="E5" s="6">
        <v>3.26</v>
      </c>
      <c r="F5" s="6">
        <f>F3+E5</f>
        <v>7.6899999999999995</v>
      </c>
      <c r="G5" s="1" t="s">
        <v>192</v>
      </c>
      <c r="H5" s="1" t="s">
        <v>198</v>
      </c>
      <c r="I5" s="17">
        <f t="shared" si="0"/>
        <v>3.26</v>
      </c>
      <c r="J5" s="17">
        <f t="shared" ref="J5:J21" si="8">I5-SUM(K5:V5)</f>
        <v>2.5599999999999996</v>
      </c>
      <c r="M5" s="2">
        <v>0.7</v>
      </c>
      <c r="W5" s="17">
        <f t="shared" si="1"/>
        <v>2.1360000000000001</v>
      </c>
      <c r="X5" s="6">
        <f>X3+W5</f>
        <v>6.1562857142857146</v>
      </c>
      <c r="Y5" s="72"/>
      <c r="Z5" s="21">
        <f t="shared" si="6"/>
        <v>91.573033707865164</v>
      </c>
      <c r="AA5" s="21">
        <f t="shared" si="7"/>
        <v>74.947788555251307</v>
      </c>
      <c r="AB5" s="18">
        <f t="shared" si="2"/>
        <v>63.70562027196361</v>
      </c>
      <c r="AC5" s="18">
        <f t="shared" si="3"/>
        <v>71.200399127488737</v>
      </c>
      <c r="AD5" s="18">
        <f t="shared" si="4"/>
        <v>7.2426890756302518</v>
      </c>
      <c r="AE5" s="18">
        <f t="shared" si="5"/>
        <v>6.4803007518796996</v>
      </c>
    </row>
    <row r="6" spans="1:31" x14ac:dyDescent="0.25">
      <c r="A6" s="10" t="s">
        <v>185</v>
      </c>
      <c r="B6" s="10" t="s">
        <v>199</v>
      </c>
      <c r="C6" s="10" t="s">
        <v>197</v>
      </c>
      <c r="D6" s="10" t="s">
        <v>200</v>
      </c>
      <c r="E6" s="6">
        <v>2.1800000000000002</v>
      </c>
      <c r="F6" s="6">
        <f t="shared" ref="F6:F12" si="9">F5+E6</f>
        <v>9.8699999999999992</v>
      </c>
      <c r="G6" s="1" t="s">
        <v>198</v>
      </c>
      <c r="H6" s="1" t="s">
        <v>201</v>
      </c>
      <c r="I6" s="17">
        <f t="shared" si="0"/>
        <v>2.1800000000000002</v>
      </c>
      <c r="J6" s="17">
        <f t="shared" si="8"/>
        <v>1.7800000000000002</v>
      </c>
      <c r="M6" s="2">
        <f>0.4</f>
        <v>0.4</v>
      </c>
      <c r="W6" s="17">
        <f t="shared" si="1"/>
        <v>1.410857142857143</v>
      </c>
      <c r="X6" s="6">
        <f t="shared" ref="X6:X12" si="10">X5+W6</f>
        <v>7.5671428571428576</v>
      </c>
      <c r="Y6" s="72"/>
      <c r="Z6" s="21">
        <f t="shared" si="6"/>
        <v>92.709599027946524</v>
      </c>
      <c r="AA6" s="21">
        <f t="shared" si="7"/>
        <v>78.259392108740798</v>
      </c>
      <c r="AB6" s="18">
        <f t="shared" si="2"/>
        <v>66.520483292429674</v>
      </c>
      <c r="AC6" s="18">
        <f t="shared" si="3"/>
        <v>74.346422503303756</v>
      </c>
      <c r="AD6" s="18">
        <f t="shared" si="4"/>
        <v>8.9025210084033599</v>
      </c>
      <c r="AE6" s="18">
        <f t="shared" si="5"/>
        <v>7.9654135338345862</v>
      </c>
    </row>
    <row r="7" spans="1:31" x14ac:dyDescent="0.25">
      <c r="A7" s="10" t="s">
        <v>185</v>
      </c>
      <c r="B7" s="10" t="s">
        <v>202</v>
      </c>
      <c r="C7" s="10" t="s">
        <v>200</v>
      </c>
      <c r="D7" s="10" t="s">
        <v>203</v>
      </c>
      <c r="E7" s="6">
        <v>3.46</v>
      </c>
      <c r="F7" s="6">
        <f t="shared" si="9"/>
        <v>13.329999999999998</v>
      </c>
      <c r="G7" s="1" t="s">
        <v>201</v>
      </c>
      <c r="H7" s="1" t="s">
        <v>204</v>
      </c>
      <c r="I7" s="17">
        <f t="shared" si="0"/>
        <v>3.46</v>
      </c>
      <c r="J7" s="17">
        <f t="shared" si="8"/>
        <v>2.56</v>
      </c>
      <c r="L7" s="2">
        <v>0.3</v>
      </c>
      <c r="M7" s="2">
        <f>0.6</f>
        <v>0.6</v>
      </c>
      <c r="W7" s="17">
        <f t="shared" si="1"/>
        <v>2.2752857142857144</v>
      </c>
      <c r="X7" s="6">
        <f t="shared" si="10"/>
        <v>9.842428571428572</v>
      </c>
      <c r="Y7" s="72"/>
      <c r="Z7" s="21">
        <f t="shared" si="6"/>
        <v>91.241288378225647</v>
      </c>
      <c r="AA7" s="21">
        <f t="shared" si="7"/>
        <v>81.260432239429861</v>
      </c>
      <c r="AB7" s="18">
        <f t="shared" si="2"/>
        <v>69.071367403515382</v>
      </c>
      <c r="AC7" s="18">
        <f t="shared" si="3"/>
        <v>77.197410627458368</v>
      </c>
      <c r="AD7" s="18">
        <f t="shared" si="4"/>
        <v>11.579327731092437</v>
      </c>
      <c r="AE7" s="18">
        <f t="shared" si="5"/>
        <v>10.360451127819548</v>
      </c>
    </row>
    <row r="8" spans="1:31" x14ac:dyDescent="0.25">
      <c r="A8" s="10" t="s">
        <v>185</v>
      </c>
      <c r="B8" s="10" t="s">
        <v>205</v>
      </c>
      <c r="C8" s="10" t="s">
        <v>203</v>
      </c>
      <c r="D8" s="10" t="s">
        <v>206</v>
      </c>
      <c r="E8" s="6">
        <v>3.22</v>
      </c>
      <c r="F8" s="6">
        <f t="shared" si="9"/>
        <v>16.549999999999997</v>
      </c>
      <c r="G8" s="1" t="s">
        <v>204</v>
      </c>
      <c r="H8" s="1" t="s">
        <v>207</v>
      </c>
      <c r="I8" s="17">
        <f t="shared" si="0"/>
        <v>3.22</v>
      </c>
      <c r="J8" s="17">
        <f t="shared" si="8"/>
        <v>2.12</v>
      </c>
      <c r="M8" s="2">
        <v>0.6</v>
      </c>
      <c r="N8" s="2">
        <v>0.5</v>
      </c>
      <c r="W8" s="17">
        <f t="shared" si="1"/>
        <v>2.2862857142857145</v>
      </c>
      <c r="X8" s="6">
        <f t="shared" si="10"/>
        <v>12.128714285714286</v>
      </c>
      <c r="Y8" s="72"/>
      <c r="Z8" s="21">
        <f t="shared" si="6"/>
        <v>84.503874031492131</v>
      </c>
      <c r="AA8" s="21">
        <f t="shared" si="7"/>
        <v>81.87182718695891</v>
      </c>
      <c r="AB8" s="18">
        <f t="shared" si="2"/>
        <v>69.591053108915077</v>
      </c>
      <c r="AC8" s="18">
        <f t="shared" si="3"/>
        <v>77.778235827610956</v>
      </c>
      <c r="AD8" s="18">
        <f t="shared" si="4"/>
        <v>14.269075630252102</v>
      </c>
      <c r="AE8" s="18">
        <f t="shared" si="5"/>
        <v>12.767067669172935</v>
      </c>
    </row>
    <row r="9" spans="1:31" x14ac:dyDescent="0.25">
      <c r="A9" s="10" t="s">
        <v>185</v>
      </c>
      <c r="B9" s="10" t="s">
        <v>208</v>
      </c>
      <c r="C9" s="10" t="s">
        <v>206</v>
      </c>
      <c r="D9" s="10" t="s">
        <v>209</v>
      </c>
      <c r="E9" s="6">
        <v>1.58</v>
      </c>
      <c r="F9" s="6">
        <f t="shared" si="9"/>
        <v>18.129999999999995</v>
      </c>
      <c r="G9" s="1" t="s">
        <v>207</v>
      </c>
      <c r="H9" s="1" t="s">
        <v>210</v>
      </c>
      <c r="I9" s="17">
        <f t="shared" si="0"/>
        <v>1.58</v>
      </c>
      <c r="J9" s="17">
        <f t="shared" si="8"/>
        <v>0</v>
      </c>
      <c r="O9" s="2">
        <v>1.58</v>
      </c>
      <c r="W9" s="17">
        <f t="shared" si="1"/>
        <v>1.8960000000000001</v>
      </c>
      <c r="X9" s="6">
        <f t="shared" si="10"/>
        <v>14.024714285714287</v>
      </c>
      <c r="Y9" s="72"/>
      <c r="Z9" s="21">
        <f t="shared" si="6"/>
        <v>49.999999999999993</v>
      </c>
      <c r="AA9" s="21">
        <f t="shared" si="7"/>
        <v>77.563077424546435</v>
      </c>
      <c r="AB9" s="18">
        <f t="shared" si="2"/>
        <v>65.928615810864471</v>
      </c>
      <c r="AC9" s="18">
        <f t="shared" si="3"/>
        <v>73.684923553319109</v>
      </c>
      <c r="AD9" s="18">
        <f t="shared" si="4"/>
        <v>16.499663865546221</v>
      </c>
      <c r="AE9" s="18">
        <f t="shared" si="5"/>
        <v>14.762857142857145</v>
      </c>
    </row>
    <row r="10" spans="1:31" x14ac:dyDescent="0.25">
      <c r="A10" s="10" t="s">
        <v>185</v>
      </c>
      <c r="B10" s="10" t="s">
        <v>211</v>
      </c>
      <c r="C10" s="10" t="s">
        <v>209</v>
      </c>
      <c r="D10" s="10" t="s">
        <v>212</v>
      </c>
      <c r="E10" s="6">
        <v>3.38</v>
      </c>
      <c r="F10" s="6">
        <f t="shared" si="9"/>
        <v>21.509999999999994</v>
      </c>
      <c r="G10" s="1" t="s">
        <v>210</v>
      </c>
      <c r="H10" s="1" t="s">
        <v>213</v>
      </c>
      <c r="I10" s="17">
        <f t="shared" si="0"/>
        <v>3.38</v>
      </c>
      <c r="J10" s="17">
        <f t="shared" si="8"/>
        <v>0</v>
      </c>
      <c r="L10" s="2">
        <v>0.8</v>
      </c>
      <c r="N10" s="2">
        <v>1.69</v>
      </c>
      <c r="O10" s="2">
        <f>2.2-1.56+0.25</f>
        <v>0.89000000000000012</v>
      </c>
      <c r="W10" s="17">
        <f t="shared" si="1"/>
        <v>3.3580000000000001</v>
      </c>
      <c r="X10" s="6">
        <f t="shared" si="10"/>
        <v>17.382714285714286</v>
      </c>
      <c r="Y10" s="72"/>
      <c r="Z10" s="21">
        <f t="shared" si="6"/>
        <v>60.39309112567004</v>
      </c>
      <c r="AA10" s="21">
        <f t="shared" si="7"/>
        <v>74.246172305821034</v>
      </c>
      <c r="AB10" s="18">
        <f t="shared" si="2"/>
        <v>63.109246459947876</v>
      </c>
      <c r="AC10" s="18">
        <f t="shared" si="3"/>
        <v>70.533863690529984</v>
      </c>
      <c r="AD10" s="18">
        <f t="shared" si="4"/>
        <v>20.450252100840338</v>
      </c>
      <c r="AE10" s="18">
        <f t="shared" si="5"/>
        <v>18.297593984962404</v>
      </c>
    </row>
    <row r="11" spans="1:31" x14ac:dyDescent="0.25">
      <c r="A11" s="10" t="s">
        <v>185</v>
      </c>
      <c r="B11" s="10" t="s">
        <v>214</v>
      </c>
      <c r="C11" s="10" t="s">
        <v>212</v>
      </c>
      <c r="D11" s="10" t="s">
        <v>215</v>
      </c>
      <c r="E11" s="6">
        <v>0.93</v>
      </c>
      <c r="F11" s="6">
        <f t="shared" si="9"/>
        <v>22.439999999999994</v>
      </c>
      <c r="G11" s="1" t="s">
        <v>213</v>
      </c>
      <c r="H11" s="1" t="s">
        <v>216</v>
      </c>
      <c r="I11" s="17">
        <f t="shared" si="0"/>
        <v>0.93</v>
      </c>
      <c r="J11" s="17">
        <f t="shared" si="8"/>
        <v>0</v>
      </c>
      <c r="L11" s="2">
        <v>0.73</v>
      </c>
      <c r="N11" s="2">
        <v>0.2</v>
      </c>
      <c r="W11" s="17">
        <f t="shared" si="1"/>
        <v>0.74750000000000005</v>
      </c>
      <c r="X11" s="6">
        <f t="shared" si="10"/>
        <v>18.130214285714285</v>
      </c>
      <c r="Y11" s="72"/>
      <c r="Z11" s="21">
        <f t="shared" si="6"/>
        <v>74.648829431438131</v>
      </c>
      <c r="AA11" s="21">
        <f t="shared" si="7"/>
        <v>74.262773665113073</v>
      </c>
      <c r="AB11" s="18">
        <f t="shared" si="2"/>
        <v>63.123357615346109</v>
      </c>
      <c r="AC11" s="18">
        <f t="shared" si="3"/>
        <v>70.549634981857423</v>
      </c>
      <c r="AD11" s="18">
        <f t="shared" si="4"/>
        <v>21.329663865546216</v>
      </c>
      <c r="AE11" s="18">
        <f t="shared" si="5"/>
        <v>19.084436090225562</v>
      </c>
    </row>
    <row r="12" spans="1:31" x14ac:dyDescent="0.25">
      <c r="A12" s="11" t="s">
        <v>185</v>
      </c>
      <c r="B12" s="11" t="s">
        <v>217</v>
      </c>
      <c r="C12" s="11" t="s">
        <v>215</v>
      </c>
      <c r="D12" s="11" t="s">
        <v>218</v>
      </c>
      <c r="E12" s="7">
        <v>4.6100000000000003</v>
      </c>
      <c r="F12" s="7">
        <f t="shared" si="9"/>
        <v>27.049999999999994</v>
      </c>
      <c r="G12" s="3" t="s">
        <v>216</v>
      </c>
      <c r="H12" s="3" t="s">
        <v>219</v>
      </c>
      <c r="I12" s="22">
        <f t="shared" si="0"/>
        <v>4.6100000000000003</v>
      </c>
      <c r="J12" s="22">
        <f t="shared" si="8"/>
        <v>0</v>
      </c>
      <c r="K12" s="23"/>
      <c r="L12" s="23"/>
      <c r="M12" s="23"/>
      <c r="N12" s="23"/>
      <c r="O12" s="23"/>
      <c r="P12" s="23"/>
      <c r="Q12" s="23">
        <v>4.6100000000000003</v>
      </c>
      <c r="R12" s="23"/>
      <c r="S12" s="23"/>
      <c r="T12" s="23"/>
      <c r="U12" s="23"/>
      <c r="V12" s="23"/>
      <c r="W12" s="22">
        <f t="shared" si="1"/>
        <v>9.2200000000000006</v>
      </c>
      <c r="X12" s="7">
        <f t="shared" si="10"/>
        <v>27.350214285714287</v>
      </c>
      <c r="Y12" s="73"/>
      <c r="Z12" s="24">
        <f t="shared" si="6"/>
        <v>30</v>
      </c>
      <c r="AA12" s="24">
        <f t="shared" si="7"/>
        <v>59.34139978010095</v>
      </c>
      <c r="AB12" s="25">
        <f t="shared" si="2"/>
        <v>50.440189813085809</v>
      </c>
      <c r="AC12" s="25">
        <f t="shared" si="3"/>
        <v>56.374329791095903</v>
      </c>
      <c r="AD12" s="25">
        <f t="shared" si="4"/>
        <v>32.176722689075632</v>
      </c>
      <c r="AE12" s="25">
        <f t="shared" si="5"/>
        <v>28.789699248120304</v>
      </c>
    </row>
    <row r="13" spans="1:31" x14ac:dyDescent="0.25">
      <c r="A13" s="10" t="s">
        <v>185</v>
      </c>
      <c r="B13" s="10" t="s">
        <v>220</v>
      </c>
      <c r="C13" s="10" t="s">
        <v>215</v>
      </c>
      <c r="D13" s="10" t="s">
        <v>221</v>
      </c>
      <c r="E13" s="6">
        <v>1.49</v>
      </c>
      <c r="F13" s="6">
        <f>F11+E13</f>
        <v>23.929999999999993</v>
      </c>
      <c r="G13" s="1" t="s">
        <v>216</v>
      </c>
      <c r="H13" s="1" t="s">
        <v>222</v>
      </c>
      <c r="I13" s="17">
        <f t="shared" si="0"/>
        <v>1.49</v>
      </c>
      <c r="J13" s="17">
        <f t="shared" si="8"/>
        <v>0</v>
      </c>
      <c r="L13" s="2">
        <v>1.49</v>
      </c>
      <c r="W13" s="17">
        <f t="shared" si="1"/>
        <v>1.1174999999999999</v>
      </c>
      <c r="X13" s="6">
        <f>X11+W13</f>
        <v>19.247714285714284</v>
      </c>
      <c r="Y13" s="72"/>
      <c r="Z13" s="21">
        <f t="shared" si="6"/>
        <v>80.000000000000014</v>
      </c>
      <c r="AA13" s="21">
        <f t="shared" si="7"/>
        <v>74.595870381640836</v>
      </c>
      <c r="AB13" s="18">
        <f t="shared" si="2"/>
        <v>63.406489824394711</v>
      </c>
      <c r="AC13" s="18">
        <f t="shared" si="3"/>
        <v>70.866076862558785</v>
      </c>
      <c r="AD13" s="18">
        <f t="shared" si="4"/>
        <v>22.644369747899159</v>
      </c>
      <c r="AE13" s="18">
        <f t="shared" si="5"/>
        <v>20.260751879699253</v>
      </c>
    </row>
    <row r="14" spans="1:31" x14ac:dyDescent="0.25">
      <c r="A14" s="10" t="s">
        <v>185</v>
      </c>
      <c r="B14" s="10" t="s">
        <v>223</v>
      </c>
      <c r="C14" s="10" t="s">
        <v>221</v>
      </c>
      <c r="D14" s="10" t="s">
        <v>224</v>
      </c>
      <c r="E14" s="6">
        <v>6.8</v>
      </c>
      <c r="F14" s="6">
        <f>F13+E14</f>
        <v>30.729999999999993</v>
      </c>
      <c r="G14" s="1" t="s">
        <v>222</v>
      </c>
      <c r="H14" s="1" t="s">
        <v>225</v>
      </c>
      <c r="I14" s="17">
        <f t="shared" si="0"/>
        <v>6.8</v>
      </c>
      <c r="J14" s="17">
        <f t="shared" si="8"/>
        <v>0</v>
      </c>
      <c r="L14" s="2">
        <v>6.8</v>
      </c>
      <c r="W14" s="17">
        <f t="shared" si="1"/>
        <v>5.0999999999999996</v>
      </c>
      <c r="X14" s="6">
        <f>X13+W14</f>
        <v>24.347714285714282</v>
      </c>
      <c r="Y14" s="72"/>
      <c r="Z14" s="21">
        <f t="shared" si="6"/>
        <v>80.000000000000014</v>
      </c>
      <c r="AA14" s="21">
        <f t="shared" si="7"/>
        <v>75.727847729913037</v>
      </c>
      <c r="AB14" s="18">
        <f t="shared" si="2"/>
        <v>64.368670570426076</v>
      </c>
      <c r="AC14" s="18">
        <f t="shared" si="3"/>
        <v>71.941455343417388</v>
      </c>
      <c r="AD14" s="18">
        <f t="shared" si="4"/>
        <v>28.644369747899159</v>
      </c>
      <c r="AE14" s="18">
        <f t="shared" si="5"/>
        <v>25.629172932330825</v>
      </c>
    </row>
    <row r="15" spans="1:31" x14ac:dyDescent="0.25">
      <c r="A15" s="11" t="s">
        <v>185</v>
      </c>
      <c r="B15" s="11" t="s">
        <v>226</v>
      </c>
      <c r="C15" s="11" t="s">
        <v>224</v>
      </c>
      <c r="D15" s="11" t="s">
        <v>227</v>
      </c>
      <c r="E15" s="7">
        <v>4.8499999999999996</v>
      </c>
      <c r="F15" s="7">
        <f>F14+E15</f>
        <v>35.579999999999991</v>
      </c>
      <c r="G15" s="3" t="s">
        <v>225</v>
      </c>
      <c r="H15" s="3" t="s">
        <v>228</v>
      </c>
      <c r="I15" s="22">
        <f t="shared" si="0"/>
        <v>4.8499999999999996</v>
      </c>
      <c r="J15" s="22">
        <f t="shared" si="8"/>
        <v>0</v>
      </c>
      <c r="K15" s="23"/>
      <c r="L15" s="23"/>
      <c r="M15" s="23"/>
      <c r="N15" s="23"/>
      <c r="O15" s="23">
        <v>2.42</v>
      </c>
      <c r="P15" s="23">
        <v>2.4300000000000002</v>
      </c>
      <c r="Q15" s="23"/>
      <c r="R15" s="23"/>
      <c r="S15" s="23"/>
      <c r="T15" s="23"/>
      <c r="U15" s="23"/>
      <c r="V15" s="23"/>
      <c r="W15" s="22">
        <f t="shared" si="1"/>
        <v>6.5489999999999995</v>
      </c>
      <c r="X15" s="7">
        <f>X14+W15</f>
        <v>30.896714285714282</v>
      </c>
      <c r="Y15" s="73"/>
      <c r="Z15" s="24">
        <f t="shared" si="6"/>
        <v>44.434264773247826</v>
      </c>
      <c r="AA15" s="24">
        <f t="shared" si="7"/>
        <v>69.094725745224864</v>
      </c>
      <c r="AB15" s="25">
        <f t="shared" si="2"/>
        <v>58.730516883441133</v>
      </c>
      <c r="AC15" s="25">
        <f t="shared" si="3"/>
        <v>65.639989457963622</v>
      </c>
      <c r="AD15" s="25">
        <f t="shared" si="4"/>
        <v>36.349075630252095</v>
      </c>
      <c r="AE15" s="25">
        <f t="shared" si="5"/>
        <v>32.522857142857141</v>
      </c>
    </row>
    <row r="16" spans="1:31" x14ac:dyDescent="0.25">
      <c r="A16" s="11" t="s">
        <v>185</v>
      </c>
      <c r="B16" s="11" t="s">
        <v>229</v>
      </c>
      <c r="C16" s="11" t="s">
        <v>227</v>
      </c>
      <c r="D16" s="11" t="s">
        <v>230</v>
      </c>
      <c r="E16" s="7">
        <v>4.26</v>
      </c>
      <c r="F16" s="7">
        <f>F15+E16</f>
        <v>39.839999999999989</v>
      </c>
      <c r="G16" s="3" t="s">
        <v>228</v>
      </c>
      <c r="H16" s="3" t="s">
        <v>231</v>
      </c>
      <c r="I16" s="22">
        <f t="shared" si="0"/>
        <v>4.26</v>
      </c>
      <c r="J16" s="22">
        <f t="shared" si="8"/>
        <v>0</v>
      </c>
      <c r="K16" s="23"/>
      <c r="L16" s="23"/>
      <c r="M16" s="23"/>
      <c r="N16" s="23"/>
      <c r="O16" s="23">
        <v>2.13</v>
      </c>
      <c r="P16" s="23">
        <v>2.13</v>
      </c>
      <c r="Q16" s="23"/>
      <c r="R16" s="23"/>
      <c r="S16" s="23"/>
      <c r="T16" s="23"/>
      <c r="U16" s="23"/>
      <c r="V16" s="23"/>
      <c r="W16" s="22">
        <f t="shared" si="1"/>
        <v>5.7509999999999994</v>
      </c>
      <c r="X16" s="7">
        <f>X15+W16</f>
        <v>36.647714285714279</v>
      </c>
      <c r="Y16" s="73"/>
      <c r="Z16" s="24">
        <f t="shared" si="6"/>
        <v>44.44444444444445</v>
      </c>
      <c r="AA16" s="24">
        <f t="shared" si="7"/>
        <v>65.226441719226301</v>
      </c>
      <c r="AB16" s="25">
        <f t="shared" si="2"/>
        <v>55.442475461342354</v>
      </c>
      <c r="AC16" s="25">
        <f t="shared" si="3"/>
        <v>61.965119633264983</v>
      </c>
      <c r="AD16" s="25">
        <f t="shared" si="4"/>
        <v>43.114957983193264</v>
      </c>
      <c r="AE16" s="25">
        <f t="shared" si="5"/>
        <v>38.576541353383448</v>
      </c>
    </row>
    <row r="17" spans="1:31" x14ac:dyDescent="0.25">
      <c r="A17" s="11" t="s">
        <v>185</v>
      </c>
      <c r="B17" s="11" t="s">
        <v>232</v>
      </c>
      <c r="C17" s="11" t="s">
        <v>230</v>
      </c>
      <c r="D17" s="11" t="s">
        <v>233</v>
      </c>
      <c r="E17" s="7">
        <v>2.85</v>
      </c>
      <c r="F17" s="7">
        <f>F16+E17</f>
        <v>42.689999999999991</v>
      </c>
      <c r="G17" s="3" t="s">
        <v>231</v>
      </c>
      <c r="H17" s="3" t="s">
        <v>234</v>
      </c>
      <c r="I17" s="22">
        <f t="shared" si="0"/>
        <v>2.85</v>
      </c>
      <c r="J17" s="22">
        <f t="shared" si="8"/>
        <v>0</v>
      </c>
      <c r="K17" s="23"/>
      <c r="L17" s="23"/>
      <c r="M17" s="23"/>
      <c r="N17" s="23"/>
      <c r="O17" s="23">
        <v>1.43</v>
      </c>
      <c r="P17" s="23">
        <v>1.42</v>
      </c>
      <c r="Q17" s="23"/>
      <c r="R17" s="23"/>
      <c r="S17" s="23"/>
      <c r="T17" s="23"/>
      <c r="U17" s="23"/>
      <c r="V17" s="23"/>
      <c r="W17" s="22">
        <f t="shared" si="1"/>
        <v>3.8459999999999992</v>
      </c>
      <c r="X17" s="7">
        <f>X16+W17</f>
        <v>40.493714285714276</v>
      </c>
      <c r="Y17" s="73"/>
      <c r="Z17" s="24">
        <f t="shared" si="6"/>
        <v>44.461778471138857</v>
      </c>
      <c r="AA17" s="24">
        <f t="shared" si="7"/>
        <v>63.254261684353132</v>
      </c>
      <c r="AB17" s="25">
        <f t="shared" si="2"/>
        <v>53.766122431700161</v>
      </c>
      <c r="AC17" s="25">
        <f t="shared" si="3"/>
        <v>60.091548600135475</v>
      </c>
      <c r="AD17" s="25">
        <f t="shared" si="4"/>
        <v>47.639663865546204</v>
      </c>
      <c r="AE17" s="25">
        <f t="shared" si="5"/>
        <v>42.624962406015023</v>
      </c>
    </row>
    <row r="18" spans="1:31" x14ac:dyDescent="0.25">
      <c r="A18" s="11" t="s">
        <v>185</v>
      </c>
      <c r="B18" s="11" t="s">
        <v>235</v>
      </c>
      <c r="C18" s="11" t="s">
        <v>233</v>
      </c>
      <c r="D18" s="11" t="s">
        <v>236</v>
      </c>
      <c r="E18" s="7">
        <v>0.97</v>
      </c>
      <c r="F18" s="7">
        <f>F17+E18</f>
        <v>43.659999999999989</v>
      </c>
      <c r="G18" s="3" t="s">
        <v>234</v>
      </c>
      <c r="H18" s="3" t="s">
        <v>237</v>
      </c>
      <c r="I18" s="22">
        <f t="shared" si="0"/>
        <v>0.97</v>
      </c>
      <c r="J18" s="22">
        <f t="shared" si="8"/>
        <v>0</v>
      </c>
      <c r="K18" s="23"/>
      <c r="L18" s="23"/>
      <c r="M18" s="23"/>
      <c r="N18" s="23">
        <v>0.48</v>
      </c>
      <c r="O18" s="23">
        <v>0.49</v>
      </c>
      <c r="P18" s="23"/>
      <c r="Q18" s="23"/>
      <c r="R18" s="23"/>
      <c r="S18" s="23"/>
      <c r="T18" s="23"/>
      <c r="U18" s="23"/>
      <c r="V18" s="23"/>
      <c r="W18" s="22">
        <f t="shared" si="1"/>
        <v>1.0680000000000001</v>
      </c>
      <c r="X18" s="7">
        <f>X17+W18</f>
        <v>41.561714285714274</v>
      </c>
      <c r="Y18" s="73"/>
      <c r="Z18" s="24">
        <f t="shared" si="6"/>
        <v>54.494382022471903</v>
      </c>
      <c r="AA18" s="24">
        <f t="shared" si="7"/>
        <v>63.029161453535536</v>
      </c>
      <c r="AB18" s="25">
        <f t="shared" si="2"/>
        <v>53.574787235505205</v>
      </c>
      <c r="AC18" s="25">
        <f t="shared" si="3"/>
        <v>59.877703380858755</v>
      </c>
      <c r="AD18" s="25">
        <f t="shared" si="4"/>
        <v>48.896134453781499</v>
      </c>
      <c r="AE18" s="25">
        <f t="shared" si="5"/>
        <v>43.749172932330822</v>
      </c>
    </row>
    <row r="19" spans="1:31" x14ac:dyDescent="0.25">
      <c r="A19" s="10" t="s">
        <v>185</v>
      </c>
      <c r="B19" s="10" t="s">
        <v>238</v>
      </c>
      <c r="C19" s="10" t="s">
        <v>224</v>
      </c>
      <c r="D19" s="10" t="s">
        <v>239</v>
      </c>
      <c r="E19" s="6">
        <v>0.30000001192092896</v>
      </c>
      <c r="F19" s="6">
        <f>F14+E19</f>
        <v>31.030000011920922</v>
      </c>
      <c r="G19" s="1" t="s">
        <v>225</v>
      </c>
      <c r="H19" s="1" t="s">
        <v>240</v>
      </c>
      <c r="I19" s="17">
        <f t="shared" si="0"/>
        <v>0.30000001192092896</v>
      </c>
      <c r="J19" s="17">
        <f t="shared" si="8"/>
        <v>1.1920928966180355E-8</v>
      </c>
      <c r="O19" s="2">
        <v>0.3</v>
      </c>
      <c r="W19" s="17">
        <f t="shared" si="1"/>
        <v>0.36000000715255742</v>
      </c>
      <c r="X19" s="6">
        <f>X14+W19</f>
        <v>24.707714292866839</v>
      </c>
      <c r="Y19" s="72"/>
      <c r="Z19" s="21">
        <f t="shared" si="6"/>
        <v>50.000000993410723</v>
      </c>
      <c r="AA19" s="21">
        <f t="shared" si="7"/>
        <v>75.35298403757082</v>
      </c>
      <c r="AB19" s="18">
        <f t="shared" ref="AB19:AB30" si="11">AA19*0.85</f>
        <v>64.050036431935197</v>
      </c>
      <c r="AC19" s="18">
        <f t="shared" si="3"/>
        <v>71.585334835692279</v>
      </c>
      <c r="AD19" s="18">
        <f t="shared" si="4"/>
        <v>29.067899168078632</v>
      </c>
      <c r="AE19" s="18">
        <f t="shared" si="5"/>
        <v>26.008120308280883</v>
      </c>
    </row>
    <row r="20" spans="1:31" x14ac:dyDescent="0.25">
      <c r="A20" s="11" t="s">
        <v>185</v>
      </c>
      <c r="B20" s="11" t="s">
        <v>241</v>
      </c>
      <c r="C20" s="11" t="s">
        <v>239</v>
      </c>
      <c r="D20" s="11" t="s">
        <v>242</v>
      </c>
      <c r="E20" s="7">
        <v>4.4000000000000004</v>
      </c>
      <c r="F20" s="7">
        <f t="shared" ref="F20:F26" si="12">F19+E20</f>
        <v>35.430000011920924</v>
      </c>
      <c r="G20" s="3" t="s">
        <v>240</v>
      </c>
      <c r="H20" s="3" t="s">
        <v>243</v>
      </c>
      <c r="I20" s="22">
        <f t="shared" si="0"/>
        <v>4.4000000000000004</v>
      </c>
      <c r="J20" s="22">
        <f t="shared" si="8"/>
        <v>0</v>
      </c>
      <c r="K20" s="23"/>
      <c r="L20" s="23"/>
      <c r="M20" s="23"/>
      <c r="N20" s="23"/>
      <c r="O20" s="23"/>
      <c r="P20" s="23">
        <v>4.4000000000000004</v>
      </c>
      <c r="Q20" s="23"/>
      <c r="R20" s="23"/>
      <c r="S20" s="23"/>
      <c r="T20" s="23"/>
      <c r="U20" s="23"/>
      <c r="V20" s="23"/>
      <c r="W20" s="22">
        <f t="shared" si="1"/>
        <v>6.6000000000000005</v>
      </c>
      <c r="X20" s="7">
        <f t="shared" ref="X20:X26" si="13">X19+W20</f>
        <v>31.307714292866841</v>
      </c>
      <c r="Y20" s="73"/>
      <c r="Z20" s="24">
        <f t="shared" ref="Z20:Z30" si="14">I20/W20*60</f>
        <v>40</v>
      </c>
      <c r="AA20" s="24">
        <f t="shared" ref="AA20:AA30" si="15">F20/X20*60</f>
        <v>67.900198041592532</v>
      </c>
      <c r="AB20" s="25">
        <f t="shared" si="11"/>
        <v>57.715168335353653</v>
      </c>
      <c r="AC20" s="25">
        <f t="shared" si="3"/>
        <v>64.505188139512896</v>
      </c>
      <c r="AD20" s="25">
        <f t="shared" si="4"/>
        <v>36.832605050431575</v>
      </c>
      <c r="AE20" s="25">
        <f t="shared" si="5"/>
        <v>32.955488729333517</v>
      </c>
    </row>
    <row r="21" spans="1:31" x14ac:dyDescent="0.25">
      <c r="A21" s="11"/>
      <c r="B21" s="11"/>
      <c r="C21" s="11"/>
      <c r="D21" s="11"/>
      <c r="E21" s="7">
        <v>10.8</v>
      </c>
      <c r="F21" s="7">
        <f t="shared" si="12"/>
        <v>46.230000011920922</v>
      </c>
      <c r="G21" s="3"/>
      <c r="H21" s="80" t="s">
        <v>432</v>
      </c>
      <c r="I21" s="22">
        <f t="shared" si="0"/>
        <v>10.8</v>
      </c>
      <c r="J21" s="22">
        <f t="shared" si="8"/>
        <v>0</v>
      </c>
      <c r="K21" s="23"/>
      <c r="L21" s="23"/>
      <c r="M21" s="23"/>
      <c r="N21" s="23"/>
      <c r="O21" s="23"/>
      <c r="P21" s="23">
        <f>0.4+3.9</f>
        <v>4.3</v>
      </c>
      <c r="Q21" s="23">
        <v>5.5</v>
      </c>
      <c r="R21" s="23">
        <v>1</v>
      </c>
      <c r="S21" s="23"/>
      <c r="T21" s="23"/>
      <c r="U21" s="23"/>
      <c r="V21" s="23"/>
      <c r="W21" s="22">
        <f t="shared" si="1"/>
        <v>19.849999999999998</v>
      </c>
      <c r="X21" s="7">
        <f>X20+W21</f>
        <v>51.157714292866842</v>
      </c>
      <c r="Y21" s="73"/>
      <c r="Z21" s="24">
        <f t="shared" si="14"/>
        <v>32.644836272040308</v>
      </c>
      <c r="AA21" s="24">
        <f>F21/X21*60</f>
        <v>54.220561630956588</v>
      </c>
      <c r="AB21" s="25">
        <f t="shared" si="11"/>
        <v>46.087477386313097</v>
      </c>
      <c r="AC21" s="25">
        <f>AA21*0.95</f>
        <v>51.509533549408758</v>
      </c>
      <c r="AD21" s="25">
        <f>$F21/AB21*60</f>
        <v>60.185546226902176</v>
      </c>
      <c r="AE21" s="25">
        <f>$F21/AC21*60</f>
        <v>53.850225571438777</v>
      </c>
    </row>
    <row r="22" spans="1:31" x14ac:dyDescent="0.25">
      <c r="A22" s="10" t="s">
        <v>185</v>
      </c>
      <c r="B22" s="10" t="s">
        <v>244</v>
      </c>
      <c r="C22" s="10" t="s">
        <v>239</v>
      </c>
      <c r="D22" s="10" t="s">
        <v>245</v>
      </c>
      <c r="E22" s="6">
        <v>2.78</v>
      </c>
      <c r="F22" s="6">
        <f>F19+E22</f>
        <v>33.81000001192092</v>
      </c>
      <c r="G22" s="1" t="s">
        <v>240</v>
      </c>
      <c r="H22" s="1" t="s">
        <v>246</v>
      </c>
      <c r="I22" s="17">
        <f t="shared" si="0"/>
        <v>2.78</v>
      </c>
      <c r="J22" s="17">
        <f t="shared" ref="J22:J30" si="16">I22-SUM(K22:V22)</f>
        <v>0</v>
      </c>
      <c r="O22" s="2">
        <v>1.39</v>
      </c>
      <c r="P22" s="2">
        <v>1.39</v>
      </c>
      <c r="W22" s="17">
        <f t="shared" si="1"/>
        <v>3.7529999999999997</v>
      </c>
      <c r="X22" s="6">
        <f>X19+W22</f>
        <v>28.46071429286684</v>
      </c>
      <c r="Y22" s="72"/>
      <c r="Z22" s="21">
        <f t="shared" si="14"/>
        <v>44.444444444444443</v>
      </c>
      <c r="AA22" s="21">
        <f t="shared" si="15"/>
        <v>71.277199153911852</v>
      </c>
      <c r="AB22" s="18">
        <f t="shared" si="11"/>
        <v>60.585619280825071</v>
      </c>
      <c r="AC22" s="18">
        <f t="shared" si="3"/>
        <v>67.713339196216253</v>
      </c>
      <c r="AD22" s="18">
        <f t="shared" si="4"/>
        <v>33.483193285725697</v>
      </c>
      <c r="AE22" s="18">
        <f t="shared" si="5"/>
        <v>29.958646624070361</v>
      </c>
    </row>
    <row r="23" spans="1:31" x14ac:dyDescent="0.25">
      <c r="A23" s="10" t="s">
        <v>185</v>
      </c>
      <c r="B23" s="10" t="s">
        <v>247</v>
      </c>
      <c r="C23" s="10" t="s">
        <v>245</v>
      </c>
      <c r="D23" s="10" t="s">
        <v>248</v>
      </c>
      <c r="E23" s="6">
        <v>7.179999828338623</v>
      </c>
      <c r="F23" s="6">
        <f t="shared" si="12"/>
        <v>40.989999840259543</v>
      </c>
      <c r="G23" s="1" t="s">
        <v>246</v>
      </c>
      <c r="H23" s="1" t="s">
        <v>249</v>
      </c>
      <c r="I23" s="17">
        <f t="shared" si="0"/>
        <v>7.179999828338623</v>
      </c>
      <c r="J23" s="17">
        <f t="shared" si="16"/>
        <v>-1.7166137666890791E-7</v>
      </c>
      <c r="O23" s="2">
        <v>1.7</v>
      </c>
      <c r="P23" s="2">
        <v>5.18</v>
      </c>
      <c r="Q23" s="2">
        <v>0.3</v>
      </c>
      <c r="W23" s="17">
        <f t="shared" si="1"/>
        <v>10.409999897003175</v>
      </c>
      <c r="X23" s="6">
        <f t="shared" si="13"/>
        <v>38.870714189870014</v>
      </c>
      <c r="Y23" s="72"/>
      <c r="Z23" s="21">
        <f t="shared" si="14"/>
        <v>41.383284722638265</v>
      </c>
      <c r="AA23" s="21">
        <f t="shared" si="15"/>
        <v>63.271283836007051</v>
      </c>
      <c r="AB23" s="18">
        <f t="shared" si="11"/>
        <v>53.780591260605995</v>
      </c>
      <c r="AC23" s="18">
        <f t="shared" si="3"/>
        <v>60.107719644206696</v>
      </c>
      <c r="AD23" s="18">
        <f t="shared" si="4"/>
        <v>45.730251988082365</v>
      </c>
      <c r="AE23" s="18">
        <f t="shared" si="5"/>
        <v>40.916541252494753</v>
      </c>
    </row>
    <row r="24" spans="1:31" x14ac:dyDescent="0.25">
      <c r="A24" s="10" t="s">
        <v>185</v>
      </c>
      <c r="B24" s="10" t="s">
        <v>250</v>
      </c>
      <c r="C24" s="10" t="s">
        <v>248</v>
      </c>
      <c r="D24" s="10" t="s">
        <v>251</v>
      </c>
      <c r="E24" s="6">
        <v>2.2699999809265137</v>
      </c>
      <c r="F24" s="6">
        <f t="shared" si="12"/>
        <v>43.259999821186057</v>
      </c>
      <c r="G24" s="1" t="s">
        <v>249</v>
      </c>
      <c r="H24" s="1" t="s">
        <v>252</v>
      </c>
      <c r="I24" s="17">
        <f t="shared" si="0"/>
        <v>2.2699999809265137</v>
      </c>
      <c r="J24" s="17">
        <f t="shared" si="16"/>
        <v>-1.9073485901799359E-8</v>
      </c>
      <c r="N24" s="2">
        <v>1.1299999999999999</v>
      </c>
      <c r="O24" s="2">
        <v>1.1399999999999999</v>
      </c>
      <c r="W24" s="17">
        <f t="shared" si="1"/>
        <v>2.4979999885559083</v>
      </c>
      <c r="X24" s="6">
        <f t="shared" si="13"/>
        <v>41.368714178425925</v>
      </c>
      <c r="Y24" s="72"/>
      <c r="Z24" s="21">
        <f t="shared" si="14"/>
        <v>54.523618686775059</v>
      </c>
      <c r="AA24" s="21">
        <f t="shared" si="15"/>
        <v>62.743066610099937</v>
      </c>
      <c r="AB24" s="18">
        <f t="shared" si="11"/>
        <v>53.331606618584942</v>
      </c>
      <c r="AC24" s="18">
        <f t="shared" si="3"/>
        <v>59.605913279594937</v>
      </c>
      <c r="AD24" s="18">
        <f t="shared" si="4"/>
        <v>48.669075504030502</v>
      </c>
      <c r="AE24" s="18">
        <f t="shared" si="5"/>
        <v>43.54601492465887</v>
      </c>
    </row>
    <row r="25" spans="1:31" x14ac:dyDescent="0.25">
      <c r="A25" s="10" t="s">
        <v>185</v>
      </c>
      <c r="B25" s="10" t="s">
        <v>253</v>
      </c>
      <c r="C25" s="10" t="s">
        <v>251</v>
      </c>
      <c r="D25" s="10" t="s">
        <v>254</v>
      </c>
      <c r="E25" s="6">
        <v>0.57999999999999996</v>
      </c>
      <c r="F25" s="6">
        <f t="shared" si="12"/>
        <v>43.839999821186055</v>
      </c>
      <c r="G25" s="1" t="s">
        <v>252</v>
      </c>
      <c r="H25" s="1" t="s">
        <v>255</v>
      </c>
      <c r="I25" s="17">
        <f t="shared" si="0"/>
        <v>0.57999999999999996</v>
      </c>
      <c r="J25" s="17">
        <f t="shared" si="16"/>
        <v>0</v>
      </c>
      <c r="P25" s="2">
        <v>0.57999999999999996</v>
      </c>
      <c r="W25" s="17">
        <f t="shared" si="1"/>
        <v>0.86999999999999988</v>
      </c>
      <c r="X25" s="6">
        <f t="shared" si="13"/>
        <v>42.238714178425923</v>
      </c>
      <c r="Y25" s="72"/>
      <c r="Z25" s="21">
        <f t="shared" si="14"/>
        <v>40.000000000000007</v>
      </c>
      <c r="AA25" s="21">
        <f t="shared" si="15"/>
        <v>62.274622711282262</v>
      </c>
      <c r="AB25" s="18">
        <f t="shared" si="11"/>
        <v>52.933429304589922</v>
      </c>
      <c r="AC25" s="18">
        <f t="shared" si="3"/>
        <v>59.160891575718146</v>
      </c>
      <c r="AD25" s="18">
        <f t="shared" si="4"/>
        <v>49.692604915795208</v>
      </c>
      <c r="AE25" s="18">
        <f t="shared" si="5"/>
        <v>44.461804398343084</v>
      </c>
    </row>
    <row r="26" spans="1:31" x14ac:dyDescent="0.25">
      <c r="A26" s="11" t="s">
        <v>185</v>
      </c>
      <c r="B26" s="11" t="s">
        <v>256</v>
      </c>
      <c r="C26" s="11" t="s">
        <v>254</v>
      </c>
      <c r="D26" s="11" t="s">
        <v>257</v>
      </c>
      <c r="E26" s="7">
        <v>7.26</v>
      </c>
      <c r="F26" s="7">
        <f t="shared" si="12"/>
        <v>51.099999821186053</v>
      </c>
      <c r="G26" s="3" t="s">
        <v>255</v>
      </c>
      <c r="H26" s="3" t="s">
        <v>258</v>
      </c>
      <c r="I26" s="22">
        <f t="shared" si="0"/>
        <v>7.26</v>
      </c>
      <c r="J26" s="22">
        <f t="shared" si="16"/>
        <v>0</v>
      </c>
      <c r="K26" s="23"/>
      <c r="L26" s="23"/>
      <c r="M26" s="23"/>
      <c r="N26" s="23"/>
      <c r="O26" s="23">
        <v>7.26</v>
      </c>
      <c r="P26" s="23"/>
      <c r="Q26" s="23"/>
      <c r="R26" s="23"/>
      <c r="S26" s="23"/>
      <c r="T26" s="23"/>
      <c r="U26" s="23"/>
      <c r="V26" s="23"/>
      <c r="W26" s="22">
        <f t="shared" si="1"/>
        <v>8.7119999999999997</v>
      </c>
      <c r="X26" s="7">
        <f t="shared" si="13"/>
        <v>50.950714178425926</v>
      </c>
      <c r="Y26" s="73"/>
      <c r="Z26" s="24">
        <f t="shared" si="14"/>
        <v>50</v>
      </c>
      <c r="AA26" s="24">
        <f t="shared" si="15"/>
        <v>60.175800059136371</v>
      </c>
      <c r="AB26" s="25">
        <f t="shared" si="11"/>
        <v>51.149430050265913</v>
      </c>
      <c r="AC26" s="25">
        <f t="shared" si="3"/>
        <v>57.167010056179549</v>
      </c>
      <c r="AD26" s="25">
        <f t="shared" si="4"/>
        <v>59.942016680501091</v>
      </c>
      <c r="AE26" s="25">
        <f t="shared" si="5"/>
        <v>53.632330714132557</v>
      </c>
    </row>
    <row r="27" spans="1:31" x14ac:dyDescent="0.25">
      <c r="A27" s="11" t="s">
        <v>185</v>
      </c>
      <c r="B27" s="11" t="s">
        <v>259</v>
      </c>
      <c r="C27" s="11" t="s">
        <v>257</v>
      </c>
      <c r="D27" s="11" t="s">
        <v>260</v>
      </c>
      <c r="E27" s="7">
        <v>1.17</v>
      </c>
      <c r="F27" s="7">
        <f>F26+E27</f>
        <v>52.269999821186055</v>
      </c>
      <c r="G27" s="3" t="s">
        <v>258</v>
      </c>
      <c r="H27" s="80" t="s">
        <v>442</v>
      </c>
      <c r="I27" s="22">
        <f t="shared" si="0"/>
        <v>1.17</v>
      </c>
      <c r="J27" s="22">
        <f t="shared" si="16"/>
        <v>0</v>
      </c>
      <c r="K27" s="23"/>
      <c r="L27" s="23"/>
      <c r="M27" s="23"/>
      <c r="N27" s="23"/>
      <c r="O27" s="23">
        <v>1.17</v>
      </c>
      <c r="P27" s="23"/>
      <c r="Q27" s="23"/>
      <c r="R27" s="23"/>
      <c r="S27" s="23"/>
      <c r="T27" s="23"/>
      <c r="U27" s="23"/>
      <c r="V27" s="23"/>
      <c r="W27" s="22">
        <f t="shared" si="1"/>
        <v>1.4039999999999999</v>
      </c>
      <c r="X27" s="7">
        <f>X26+W27</f>
        <v>52.354714178425922</v>
      </c>
      <c r="Y27" s="73"/>
      <c r="Z27" s="24">
        <f t="shared" si="14"/>
        <v>50</v>
      </c>
      <c r="AA27" s="24">
        <f t="shared" si="15"/>
        <v>59.90291492343804</v>
      </c>
      <c r="AB27" s="25">
        <f t="shared" si="11"/>
        <v>50.917477684922332</v>
      </c>
      <c r="AC27" s="25">
        <f t="shared" si="3"/>
        <v>56.907769177266132</v>
      </c>
      <c r="AD27" s="25">
        <f t="shared" si="4"/>
        <v>61.593781386383441</v>
      </c>
      <c r="AE27" s="25">
        <f t="shared" si="5"/>
        <v>55.11022545097466</v>
      </c>
    </row>
    <row r="28" spans="1:31" x14ac:dyDescent="0.25">
      <c r="A28" s="11" t="s">
        <v>185</v>
      </c>
      <c r="B28" s="11"/>
      <c r="C28" s="13" t="s">
        <v>260</v>
      </c>
      <c r="D28" s="11"/>
      <c r="E28" s="7">
        <v>7.2</v>
      </c>
      <c r="F28" s="7">
        <f>F27+E28</f>
        <v>59.469999821186057</v>
      </c>
      <c r="G28" s="80" t="s">
        <v>442</v>
      </c>
      <c r="H28" s="3" t="s">
        <v>441</v>
      </c>
      <c r="I28" s="22">
        <f>E28</f>
        <v>7.2</v>
      </c>
      <c r="J28" s="22">
        <f>I28-SUM(K28:V28)</f>
        <v>0</v>
      </c>
      <c r="K28" s="23"/>
      <c r="L28" s="23"/>
      <c r="M28" s="23"/>
      <c r="N28" s="23"/>
      <c r="O28" s="23"/>
      <c r="P28" s="23"/>
      <c r="Q28" s="23"/>
      <c r="R28" s="23">
        <v>7.2</v>
      </c>
      <c r="S28" s="23"/>
      <c r="T28" s="23"/>
      <c r="U28" s="23"/>
      <c r="V28" s="23"/>
      <c r="W28" s="22">
        <f>(J28/J$1+K28/K$1+L28/L$1+M28/M$1+N28/N$1+O28/O$1+P28/P$1+Q28/Q$1+R28/R$1+S28/S$1+T28/T$1+U28/U$1+V28/V$1)*60</f>
        <v>17.28</v>
      </c>
      <c r="X28" s="7">
        <f>X27+W28</f>
        <v>69.634714178425924</v>
      </c>
      <c r="Y28" s="73"/>
      <c r="Z28" s="24">
        <f>I28/W28*60</f>
        <v>24.999999999999996</v>
      </c>
      <c r="AA28" s="24">
        <f>F28/X28*60</f>
        <v>51.241683567887115</v>
      </c>
      <c r="AB28" s="25">
        <f t="shared" si="11"/>
        <v>43.55543103270405</v>
      </c>
      <c r="AC28" s="25">
        <f>AA28*0.95</f>
        <v>48.679599389492758</v>
      </c>
      <c r="AD28" s="25">
        <f>$F28/AB28*60</f>
        <v>81.923193151089308</v>
      </c>
      <c r="AE28" s="25">
        <f>$F28/AC28*60</f>
        <v>73.299699135185179</v>
      </c>
    </row>
    <row r="29" spans="1:31" x14ac:dyDescent="0.25">
      <c r="A29" s="11" t="s">
        <v>185</v>
      </c>
      <c r="B29" s="11"/>
      <c r="C29" s="13" t="s">
        <v>260</v>
      </c>
      <c r="D29" s="11"/>
      <c r="E29" s="7">
        <v>7.3</v>
      </c>
      <c r="F29" s="7">
        <f>F28+E29</f>
        <v>66.769999821186062</v>
      </c>
      <c r="G29" s="3" t="s">
        <v>441</v>
      </c>
      <c r="H29" s="80" t="s">
        <v>443</v>
      </c>
      <c r="I29" s="22">
        <f>E29</f>
        <v>7.3</v>
      </c>
      <c r="J29" s="22">
        <f>I29-SUM(K29:V29)</f>
        <v>0</v>
      </c>
      <c r="K29" s="23"/>
      <c r="L29" s="23"/>
      <c r="M29" s="23"/>
      <c r="N29" s="23"/>
      <c r="O29" s="23"/>
      <c r="P29" s="23"/>
      <c r="Q29" s="23"/>
      <c r="R29" s="23">
        <v>6.3</v>
      </c>
      <c r="S29" s="23"/>
      <c r="T29" s="23"/>
      <c r="U29" s="23"/>
      <c r="V29" s="25">
        <v>1</v>
      </c>
      <c r="W29" s="22">
        <f>(J29/J$1+K29/K$1+L29/L$1+M29/M$1+N29/N$1+O29/O$1+P29/P$1+Q29/Q$1+R29/R$1+S29/S$1+T29/T$1+U29/U$1+V29/V$1)*60</f>
        <v>19.119999999999997</v>
      </c>
      <c r="X29" s="7">
        <f>X28+W29</f>
        <v>88.754714178425928</v>
      </c>
      <c r="Y29" s="73"/>
      <c r="Z29" s="24">
        <f>I29/W29*60</f>
        <v>22.90794979079498</v>
      </c>
      <c r="AA29" s="24">
        <f>F29/X29*60</f>
        <v>45.137883957548382</v>
      </c>
      <c r="AB29" s="25">
        <f t="shared" si="11"/>
        <v>38.367201363916124</v>
      </c>
      <c r="AC29" s="25">
        <f>AA29*0.95</f>
        <v>42.88098975967096</v>
      </c>
      <c r="AD29" s="25">
        <f>$F29/AB29*60</f>
        <v>104.41731079814815</v>
      </c>
      <c r="AE29" s="25">
        <f>$F29/AC29*60</f>
        <v>93.426014924658872</v>
      </c>
    </row>
    <row r="30" spans="1:31" x14ac:dyDescent="0.25">
      <c r="A30" s="10" t="s">
        <v>185</v>
      </c>
      <c r="B30" s="10" t="s">
        <v>261</v>
      </c>
      <c r="C30" s="10" t="s">
        <v>254</v>
      </c>
      <c r="D30" s="10" t="s">
        <v>262</v>
      </c>
      <c r="E30" s="6">
        <v>9.23</v>
      </c>
      <c r="F30" s="6">
        <f>F25+E30</f>
        <v>53.069999821186059</v>
      </c>
      <c r="G30" s="1" t="s">
        <v>255</v>
      </c>
      <c r="H30" s="1" t="s">
        <v>263</v>
      </c>
      <c r="I30" s="17">
        <f t="shared" si="0"/>
        <v>9.23</v>
      </c>
      <c r="J30" s="17">
        <f t="shared" si="16"/>
        <v>0</v>
      </c>
      <c r="O30" s="2">
        <v>4.62</v>
      </c>
      <c r="P30" s="2">
        <v>4.6100000000000003</v>
      </c>
      <c r="W30" s="17">
        <f t="shared" si="1"/>
        <v>12.459</v>
      </c>
      <c r="X30" s="6">
        <f>X25+W30</f>
        <v>54.697714178425926</v>
      </c>
      <c r="Y30" s="72"/>
      <c r="Z30" s="21">
        <f t="shared" si="14"/>
        <v>44.449795328678071</v>
      </c>
      <c r="AA30" s="21">
        <f t="shared" si="15"/>
        <v>58.214498303972775</v>
      </c>
      <c r="AB30" s="18">
        <f t="shared" si="11"/>
        <v>49.482323558376855</v>
      </c>
      <c r="AC30" s="18">
        <f t="shared" si="3"/>
        <v>55.303773388774133</v>
      </c>
      <c r="AD30" s="18">
        <f t="shared" si="4"/>
        <v>64.350251974618743</v>
      </c>
      <c r="AE30" s="18">
        <f t="shared" si="5"/>
        <v>57.57654124044835</v>
      </c>
    </row>
    <row r="31" spans="1:31" x14ac:dyDescent="0.25">
      <c r="A31" s="10"/>
      <c r="B31" s="10"/>
      <c r="C31" s="10"/>
      <c r="D31" s="10"/>
      <c r="E31" s="6"/>
      <c r="F31" s="6"/>
      <c r="G31" s="1"/>
      <c r="H31" s="1"/>
      <c r="I31" s="17"/>
      <c r="J31" s="17"/>
      <c r="W31" s="17"/>
      <c r="X31" s="6"/>
      <c r="Y31" s="72"/>
    </row>
    <row r="32" spans="1:31" x14ac:dyDescent="0.25">
      <c r="A32" s="10"/>
      <c r="I32" s="17"/>
      <c r="J32" s="17"/>
      <c r="W32" s="17"/>
      <c r="X32" s="5"/>
      <c r="Y32" s="74"/>
    </row>
    <row r="33" spans="1:31" x14ac:dyDescent="0.25">
      <c r="A33" s="10" t="s">
        <v>264</v>
      </c>
      <c r="B33" s="10"/>
      <c r="C33" s="10" t="s">
        <v>186</v>
      </c>
      <c r="D33" s="10" t="s">
        <v>187</v>
      </c>
      <c r="E33" s="6">
        <v>0.22</v>
      </c>
      <c r="F33" s="6">
        <f>E33</f>
        <v>0.22</v>
      </c>
      <c r="G33" s="1" t="s">
        <v>188</v>
      </c>
      <c r="H33" s="1" t="s">
        <v>189</v>
      </c>
      <c r="I33" s="17">
        <f>E33</f>
        <v>0.22</v>
      </c>
      <c r="J33" s="17">
        <f>I33-SUM(K33:V33)</f>
        <v>0</v>
      </c>
      <c r="T33" s="2">
        <v>0.22</v>
      </c>
      <c r="W33" s="17">
        <f t="shared" ref="W33:W42" si="17">(J33/J$1+K33/K$1+L33/L$1+M33/M$1+N33/N$1+O33/O$1+P33/P$1+Q33/Q$1+R33/R$1+S33/S$1+T33/T$1+U33/U$1+V33/V$1)*60</f>
        <v>0.65999999999999992</v>
      </c>
      <c r="X33" s="6">
        <f>W33+0.5</f>
        <v>1.1599999999999999</v>
      </c>
      <c r="Y33" s="72"/>
      <c r="Z33" s="21">
        <f>I33/W33*60</f>
        <v>20.000000000000004</v>
      </c>
      <c r="AA33" s="21">
        <f>F33/X33*60</f>
        <v>11.379310344827587</v>
      </c>
      <c r="AB33" s="18">
        <f>AA33*0.85</f>
        <v>9.6724137931034484</v>
      </c>
      <c r="AC33" s="18">
        <f t="shared" ref="AC33:AC42" si="18">AA33*0.95</f>
        <v>10.810344827586208</v>
      </c>
      <c r="AD33" s="18">
        <f>$F33/AB33*60</f>
        <v>1.364705882352941</v>
      </c>
      <c r="AE33" s="18">
        <f>$F33/AC33*60</f>
        <v>1.2210526315789472</v>
      </c>
    </row>
    <row r="34" spans="1:31" x14ac:dyDescent="0.25">
      <c r="A34" s="10" t="s">
        <v>264</v>
      </c>
      <c r="B34" s="10" t="s">
        <v>265</v>
      </c>
      <c r="C34" s="10" t="s">
        <v>187</v>
      </c>
      <c r="D34" s="10" t="s">
        <v>266</v>
      </c>
      <c r="E34" s="6">
        <v>4.25</v>
      </c>
      <c r="F34" s="6">
        <f>F33+E34</f>
        <v>4.47</v>
      </c>
      <c r="G34" s="1" t="s">
        <v>189</v>
      </c>
      <c r="H34" s="1" t="s">
        <v>267</v>
      </c>
      <c r="I34" s="17">
        <f t="shared" ref="I34:I42" si="19">E34</f>
        <v>4.25</v>
      </c>
      <c r="J34" s="17">
        <f t="shared" ref="J34:J42" si="20">I34-SUM(K34:V34)</f>
        <v>2.25</v>
      </c>
      <c r="L34" s="2">
        <v>1.6</v>
      </c>
      <c r="M34" s="2">
        <v>0.4</v>
      </c>
      <c r="W34" s="17">
        <f t="shared" si="17"/>
        <v>2.8928571428571423</v>
      </c>
      <c r="X34" s="6">
        <f>X33+W34</f>
        <v>4.0528571428571425</v>
      </c>
      <c r="Y34" s="72"/>
      <c r="Z34" s="21">
        <f t="shared" ref="Z34:Z42" si="21">I34/W34*60</f>
        <v>88.148148148148167</v>
      </c>
      <c r="AA34" s="21">
        <f t="shared" ref="AA34:AA42" si="22">F34/X34*60</f>
        <v>66.17553753965457</v>
      </c>
      <c r="AB34" s="18">
        <f t="shared" ref="AB34:AB42" si="23">AA34*0.85</f>
        <v>56.249206908706384</v>
      </c>
      <c r="AC34" s="18">
        <f t="shared" si="18"/>
        <v>62.866760662671837</v>
      </c>
      <c r="AD34" s="18">
        <f t="shared" ref="AD34:AD42" si="24">$F34/AB34*60</f>
        <v>4.7680672268907554</v>
      </c>
      <c r="AE34" s="18">
        <f t="shared" ref="AE34:AE42" si="25">$F34/AC34*60</f>
        <v>4.2661654135338338</v>
      </c>
    </row>
    <row r="35" spans="1:31" x14ac:dyDescent="0.25">
      <c r="A35" s="11" t="s">
        <v>264</v>
      </c>
      <c r="B35" s="11" t="s">
        <v>268</v>
      </c>
      <c r="C35" s="11" t="s">
        <v>266</v>
      </c>
      <c r="D35" s="11" t="s">
        <v>269</v>
      </c>
      <c r="E35" s="7">
        <v>4.6500000000000004</v>
      </c>
      <c r="F35" s="7">
        <f>F34+E35</f>
        <v>9.120000000000001</v>
      </c>
      <c r="G35" s="3" t="s">
        <v>267</v>
      </c>
      <c r="H35" s="3" t="s">
        <v>270</v>
      </c>
      <c r="I35" s="22">
        <f t="shared" si="19"/>
        <v>4.6500000000000004</v>
      </c>
      <c r="J35" s="22">
        <f t="shared" si="20"/>
        <v>0</v>
      </c>
      <c r="K35" s="23"/>
      <c r="L35" s="23"/>
      <c r="M35" s="23"/>
      <c r="N35" s="23"/>
      <c r="O35" s="23"/>
      <c r="P35" s="23"/>
      <c r="Q35" s="23">
        <v>4.6500000000000004</v>
      </c>
      <c r="R35" s="23"/>
      <c r="S35" s="23"/>
      <c r="T35" s="23"/>
      <c r="U35" s="23"/>
      <c r="V35" s="23"/>
      <c r="W35" s="22">
        <f t="shared" si="17"/>
        <v>9.3000000000000007</v>
      </c>
      <c r="X35" s="7">
        <f>X34+W35</f>
        <v>13.352857142857143</v>
      </c>
      <c r="Y35" s="73"/>
      <c r="Z35" s="24">
        <f t="shared" si="21"/>
        <v>30</v>
      </c>
      <c r="AA35" s="24">
        <f t="shared" si="22"/>
        <v>40.979993580828079</v>
      </c>
      <c r="AB35" s="25">
        <f t="shared" si="23"/>
        <v>34.832994543703869</v>
      </c>
      <c r="AC35" s="25">
        <f t="shared" si="18"/>
        <v>38.930993901786671</v>
      </c>
      <c r="AD35" s="25">
        <f t="shared" si="24"/>
        <v>15.709243697478993</v>
      </c>
      <c r="AE35" s="25">
        <f t="shared" si="25"/>
        <v>14.055639097744361</v>
      </c>
    </row>
    <row r="36" spans="1:31" x14ac:dyDescent="0.25">
      <c r="A36" s="11" t="s">
        <v>264</v>
      </c>
      <c r="B36" s="11" t="s">
        <v>271</v>
      </c>
      <c r="C36" s="11" t="s">
        <v>269</v>
      </c>
      <c r="D36" s="11" t="s">
        <v>272</v>
      </c>
      <c r="E36" s="7">
        <v>2.19</v>
      </c>
      <c r="F36" s="7">
        <f>F35+E36</f>
        <v>11.31</v>
      </c>
      <c r="G36" s="3" t="s">
        <v>270</v>
      </c>
      <c r="H36" s="3" t="s">
        <v>273</v>
      </c>
      <c r="I36" s="22">
        <f t="shared" si="19"/>
        <v>2.19</v>
      </c>
      <c r="J36" s="22">
        <f t="shared" si="20"/>
        <v>0</v>
      </c>
      <c r="K36" s="23"/>
      <c r="L36" s="23"/>
      <c r="M36" s="23"/>
      <c r="N36" s="23"/>
      <c r="O36" s="23">
        <v>2.19</v>
      </c>
      <c r="P36" s="23"/>
      <c r="Q36" s="23"/>
      <c r="R36" s="23"/>
      <c r="S36" s="23"/>
      <c r="T36" s="23"/>
      <c r="U36" s="23"/>
      <c r="V36" s="23"/>
      <c r="W36" s="22">
        <f t="shared" si="17"/>
        <v>2.6280000000000001</v>
      </c>
      <c r="X36" s="7">
        <f>X35+W36</f>
        <v>15.980857142857143</v>
      </c>
      <c r="Y36" s="73"/>
      <c r="Z36" s="24">
        <f t="shared" si="21"/>
        <v>49.999999999999993</v>
      </c>
      <c r="AA36" s="24">
        <f t="shared" si="22"/>
        <v>42.463304310514367</v>
      </c>
      <c r="AB36" s="25">
        <f t="shared" si="23"/>
        <v>36.09380866393721</v>
      </c>
      <c r="AC36" s="25">
        <f t="shared" si="18"/>
        <v>40.340139094988643</v>
      </c>
      <c r="AD36" s="25">
        <f t="shared" si="24"/>
        <v>18.801008403361344</v>
      </c>
      <c r="AE36" s="25">
        <f t="shared" si="25"/>
        <v>16.821954887218045</v>
      </c>
    </row>
    <row r="37" spans="1:31" x14ac:dyDescent="0.25">
      <c r="A37" s="10" t="s">
        <v>264</v>
      </c>
      <c r="B37" s="10" t="s">
        <v>274</v>
      </c>
      <c r="C37" s="10" t="s">
        <v>266</v>
      </c>
      <c r="D37" s="10" t="s">
        <v>275</v>
      </c>
      <c r="E37" s="6">
        <v>6.01</v>
      </c>
      <c r="F37" s="6">
        <f>F34+E37</f>
        <v>10.48</v>
      </c>
      <c r="G37" s="1" t="s">
        <v>267</v>
      </c>
      <c r="H37" s="1" t="s">
        <v>276</v>
      </c>
      <c r="I37" s="17">
        <f t="shared" si="19"/>
        <v>6.01</v>
      </c>
      <c r="J37" s="17">
        <f t="shared" si="20"/>
        <v>4.3099999999999996</v>
      </c>
      <c r="L37" s="79">
        <f>0.3+1</f>
        <v>1.3</v>
      </c>
      <c r="N37" s="2">
        <v>0.4</v>
      </c>
      <c r="W37" s="17">
        <f t="shared" si="17"/>
        <v>3.9610000000000003</v>
      </c>
      <c r="X37" s="6">
        <f>X34+W37</f>
        <v>8.0138571428571428</v>
      </c>
      <c r="Y37" s="72"/>
      <c r="Z37" s="21">
        <f t="shared" si="21"/>
        <v>91.037616763443566</v>
      </c>
      <c r="AA37" s="21">
        <f t="shared" si="22"/>
        <v>78.464088988715972</v>
      </c>
      <c r="AB37" s="18">
        <f t="shared" si="23"/>
        <v>66.694475640408569</v>
      </c>
      <c r="AC37" s="18">
        <f t="shared" si="18"/>
        <v>74.540884539280171</v>
      </c>
      <c r="AD37" s="18">
        <f t="shared" si="24"/>
        <v>9.428067226890759</v>
      </c>
      <c r="AE37" s="18">
        <f t="shared" si="25"/>
        <v>8.435639097744362</v>
      </c>
    </row>
    <row r="38" spans="1:31" x14ac:dyDescent="0.25">
      <c r="A38" s="10" t="s">
        <v>264</v>
      </c>
      <c r="B38" s="10" t="s">
        <v>277</v>
      </c>
      <c r="C38" s="10" t="s">
        <v>275</v>
      </c>
      <c r="D38" s="10" t="s">
        <v>278</v>
      </c>
      <c r="E38" s="6">
        <v>4.49</v>
      </c>
      <c r="F38" s="6">
        <f>F37+E38</f>
        <v>14.97</v>
      </c>
      <c r="G38" s="1" t="s">
        <v>276</v>
      </c>
      <c r="H38" s="1" t="s">
        <v>279</v>
      </c>
      <c r="I38" s="17">
        <f t="shared" si="19"/>
        <v>4.49</v>
      </c>
      <c r="J38" s="17">
        <f t="shared" si="20"/>
        <v>2.54</v>
      </c>
      <c r="L38" s="27">
        <v>1.3</v>
      </c>
      <c r="M38" s="27"/>
      <c r="N38" s="27"/>
      <c r="O38" s="27">
        <v>0.65</v>
      </c>
      <c r="W38" s="17">
        <f t="shared" si="17"/>
        <v>3.2790000000000004</v>
      </c>
      <c r="X38" s="6">
        <f>X37+W38</f>
        <v>11.292857142857143</v>
      </c>
      <c r="Y38" s="72"/>
      <c r="Z38" s="21">
        <f t="shared" si="21"/>
        <v>82.159194876486723</v>
      </c>
      <c r="AA38" s="21">
        <f t="shared" si="22"/>
        <v>79.537001897533216</v>
      </c>
      <c r="AB38" s="18">
        <f t="shared" si="23"/>
        <v>67.606451612903228</v>
      </c>
      <c r="AC38" s="18">
        <f t="shared" si="18"/>
        <v>75.560151802656549</v>
      </c>
      <c r="AD38" s="18">
        <f t="shared" si="24"/>
        <v>13.285714285714285</v>
      </c>
      <c r="AE38" s="18">
        <f t="shared" si="25"/>
        <v>11.887218045112782</v>
      </c>
    </row>
    <row r="39" spans="1:31" x14ac:dyDescent="0.25">
      <c r="A39" s="10" t="s">
        <v>264</v>
      </c>
      <c r="B39" s="10" t="s">
        <v>280</v>
      </c>
      <c r="C39" s="10" t="s">
        <v>278</v>
      </c>
      <c r="D39" s="10" t="s">
        <v>281</v>
      </c>
      <c r="E39" s="6">
        <v>6.37</v>
      </c>
      <c r="F39" s="6">
        <f>F38+E39</f>
        <v>21.34</v>
      </c>
      <c r="G39" s="1" t="s">
        <v>279</v>
      </c>
      <c r="H39" s="1" t="s">
        <v>282</v>
      </c>
      <c r="I39" s="17">
        <f t="shared" si="19"/>
        <v>6.37</v>
      </c>
      <c r="J39" s="17">
        <f t="shared" si="20"/>
        <v>5.52</v>
      </c>
      <c r="N39" s="2">
        <f>0.25+0.3</f>
        <v>0.55000000000000004</v>
      </c>
      <c r="Q39" s="2">
        <v>0.3</v>
      </c>
      <c r="W39" s="17">
        <f t="shared" si="17"/>
        <v>4.4619999999999997</v>
      </c>
      <c r="X39" s="6">
        <f>X38+W39</f>
        <v>15.754857142857142</v>
      </c>
      <c r="Y39" s="72"/>
      <c r="Z39" s="21">
        <f t="shared" si="21"/>
        <v>85.656656207978486</v>
      </c>
      <c r="AA39" s="21">
        <f t="shared" si="22"/>
        <v>81.270175184070226</v>
      </c>
      <c r="AB39" s="18">
        <f t="shared" si="23"/>
        <v>69.079648906459695</v>
      </c>
      <c r="AC39" s="18">
        <f t="shared" si="18"/>
        <v>77.206666424866711</v>
      </c>
      <c r="AD39" s="18">
        <f t="shared" si="24"/>
        <v>18.535126050420164</v>
      </c>
      <c r="AE39" s="18">
        <f t="shared" si="25"/>
        <v>16.58406015037594</v>
      </c>
    </row>
    <row r="40" spans="1:31" x14ac:dyDescent="0.25">
      <c r="A40" s="10" t="s">
        <v>264</v>
      </c>
      <c r="B40" s="10" t="s">
        <v>283</v>
      </c>
      <c r="C40" s="10" t="s">
        <v>281</v>
      </c>
      <c r="D40" s="10" t="s">
        <v>284</v>
      </c>
      <c r="E40" s="6">
        <v>1.5499999523162842</v>
      </c>
      <c r="F40" s="6">
        <f>F39+E40</f>
        <v>22.889999952316284</v>
      </c>
      <c r="G40" s="1" t="s">
        <v>282</v>
      </c>
      <c r="H40" s="1" t="s">
        <v>285</v>
      </c>
      <c r="I40" s="17">
        <f t="shared" si="19"/>
        <v>1.5499999523162842</v>
      </c>
      <c r="J40" s="17">
        <f t="shared" si="20"/>
        <v>-4.7683715864721421E-8</v>
      </c>
      <c r="M40" s="2">
        <v>0.75</v>
      </c>
      <c r="N40" s="2">
        <v>0.8</v>
      </c>
      <c r="W40" s="17">
        <f t="shared" si="17"/>
        <v>1.4428571142469133</v>
      </c>
      <c r="X40" s="6">
        <f>X39+W40</f>
        <v>17.197714257104057</v>
      </c>
      <c r="Y40" s="72"/>
      <c r="Z40" s="21">
        <f t="shared" si="21"/>
        <v>64.455444839746022</v>
      </c>
      <c r="AA40" s="21">
        <f t="shared" si="22"/>
        <v>79.859449727259602</v>
      </c>
      <c r="AB40" s="18">
        <f t="shared" si="23"/>
        <v>67.880532268170654</v>
      </c>
      <c r="AC40" s="18">
        <f t="shared" si="18"/>
        <v>75.866477240896614</v>
      </c>
      <c r="AD40" s="18">
        <f t="shared" si="24"/>
        <v>20.232605008357716</v>
      </c>
      <c r="AE40" s="18">
        <f t="shared" si="25"/>
        <v>18.102857112741113</v>
      </c>
    </row>
    <row r="41" spans="1:31" x14ac:dyDescent="0.25">
      <c r="A41" s="10" t="s">
        <v>264</v>
      </c>
      <c r="B41" s="10" t="s">
        <v>286</v>
      </c>
      <c r="C41" s="10" t="s">
        <v>284</v>
      </c>
      <c r="D41" s="10" t="s">
        <v>287</v>
      </c>
      <c r="E41" s="6">
        <v>4.6900000000000004</v>
      </c>
      <c r="F41" s="6">
        <f>F40+E41</f>
        <v>27.579999952316285</v>
      </c>
      <c r="G41" s="1" t="s">
        <v>285</v>
      </c>
      <c r="H41" s="1" t="s">
        <v>288</v>
      </c>
      <c r="I41" s="17">
        <f t="shared" si="19"/>
        <v>4.6900000000000004</v>
      </c>
      <c r="J41" s="17">
        <f t="shared" si="20"/>
        <v>3.4400000000000004</v>
      </c>
      <c r="M41" s="2">
        <f>0.35+0.9</f>
        <v>1.25</v>
      </c>
      <c r="W41" s="17">
        <f t="shared" si="17"/>
        <v>3.1354285714285717</v>
      </c>
      <c r="X41" s="6">
        <f>X40+W41</f>
        <v>20.33314282853263</v>
      </c>
      <c r="Y41" s="72"/>
      <c r="Z41" s="21">
        <f t="shared" si="21"/>
        <v>89.748496446145438</v>
      </c>
      <c r="AA41" s="21">
        <f t="shared" si="22"/>
        <v>81.384368914030702</v>
      </c>
      <c r="AB41" s="18">
        <f t="shared" si="23"/>
        <v>69.17671357692609</v>
      </c>
      <c r="AC41" s="18">
        <f t="shared" si="18"/>
        <v>77.315150468329165</v>
      </c>
      <c r="AD41" s="18">
        <f t="shared" si="24"/>
        <v>23.921344504156036</v>
      </c>
      <c r="AE41" s="18">
        <f t="shared" si="25"/>
        <v>21.403308240560662</v>
      </c>
    </row>
    <row r="42" spans="1:31" x14ac:dyDescent="0.25">
      <c r="A42" s="10" t="s">
        <v>264</v>
      </c>
      <c r="B42" s="10" t="s">
        <v>289</v>
      </c>
      <c r="C42" s="10" t="s">
        <v>287</v>
      </c>
      <c r="D42" s="10" t="s">
        <v>290</v>
      </c>
      <c r="E42" s="6">
        <v>8.77</v>
      </c>
      <c r="F42" s="6">
        <f>F41+E42</f>
        <v>36.349999952316281</v>
      </c>
      <c r="G42" s="1" t="s">
        <v>288</v>
      </c>
      <c r="H42" s="1" t="s">
        <v>291</v>
      </c>
      <c r="I42" s="17">
        <f t="shared" si="19"/>
        <v>8.77</v>
      </c>
      <c r="J42" s="17">
        <f t="shared" si="20"/>
        <v>7.77</v>
      </c>
      <c r="N42" s="2">
        <v>1</v>
      </c>
      <c r="W42" s="17">
        <f t="shared" si="17"/>
        <v>5.661999999999999</v>
      </c>
      <c r="X42" s="6">
        <f>X41+W42</f>
        <v>25.995142828532629</v>
      </c>
      <c r="Y42" s="72"/>
      <c r="Z42" s="21">
        <f t="shared" si="21"/>
        <v>92.935358530554581</v>
      </c>
      <c r="AA42" s="21">
        <f t="shared" si="22"/>
        <v>83.900289047270832</v>
      </c>
      <c r="AB42" s="18">
        <f t="shared" si="23"/>
        <v>71.315245690180205</v>
      </c>
      <c r="AC42" s="18">
        <f t="shared" si="18"/>
        <v>79.70527459490728</v>
      </c>
      <c r="AD42" s="18">
        <f t="shared" si="24"/>
        <v>30.582520974744266</v>
      </c>
      <c r="AE42" s="18">
        <f t="shared" si="25"/>
        <v>27.363308240560663</v>
      </c>
    </row>
    <row r="43" spans="1:31" x14ac:dyDescent="0.25">
      <c r="A43" s="10"/>
      <c r="B43" s="10"/>
      <c r="C43" s="10"/>
      <c r="D43" s="10"/>
      <c r="E43" s="6"/>
      <c r="F43" s="6"/>
      <c r="G43" s="1"/>
      <c r="H43" s="1"/>
      <c r="I43" s="17"/>
      <c r="J43" s="17"/>
      <c r="W43" s="17"/>
      <c r="X43" s="6"/>
      <c r="Y43" s="72"/>
    </row>
    <row r="44" spans="1:31" x14ac:dyDescent="0.25">
      <c r="A44" s="10" t="s">
        <v>292</v>
      </c>
      <c r="B44" s="10" t="s">
        <v>293</v>
      </c>
      <c r="C44" s="10" t="s">
        <v>278</v>
      </c>
      <c r="D44" s="10" t="s">
        <v>294</v>
      </c>
      <c r="E44" s="6">
        <v>0.35</v>
      </c>
      <c r="F44" s="6">
        <f>F38+E44</f>
        <v>15.32</v>
      </c>
      <c r="G44" s="1" t="s">
        <v>279</v>
      </c>
      <c r="H44" s="1" t="s">
        <v>295</v>
      </c>
      <c r="I44" s="17">
        <f t="shared" ref="I44:I66" si="26">E44</f>
        <v>0.35</v>
      </c>
      <c r="J44" s="17">
        <f t="shared" ref="J44:J60" si="27">I44-SUM(K44:V44)</f>
        <v>0</v>
      </c>
      <c r="O44" s="2">
        <v>0.35</v>
      </c>
      <c r="W44" s="17">
        <f t="shared" ref="W44:W66" si="28">(J44/J$1+K44/K$1+L44/L$1+M44/M$1+N44/N$1+O44/O$1+P44/P$1+Q44/Q$1+R44/R$1+S44/S$1+T44/T$1+U44/U$1+V44/V$1)*60</f>
        <v>0.41999999999999993</v>
      </c>
      <c r="X44" s="6">
        <f>X38+W44</f>
        <v>11.712857142857143</v>
      </c>
      <c r="Y44" s="72"/>
      <c r="Z44" s="21">
        <f t="shared" ref="Z44:Z60" si="29">I44/W44*60</f>
        <v>50</v>
      </c>
      <c r="AA44" s="21">
        <f t="shared" ref="AA44:AA60" si="30">F44/X44*60</f>
        <v>78.477863154043177</v>
      </c>
      <c r="AB44" s="18">
        <f t="shared" ref="AB44:AB60" si="31">AA44*0.85</f>
        <v>66.706183680936704</v>
      </c>
      <c r="AC44" s="18">
        <f t="shared" ref="AC44:AC66" si="32">AA44*0.95</f>
        <v>74.55396999634101</v>
      </c>
      <c r="AD44" s="18">
        <f t="shared" ref="AD44:AD66" si="33">$F44/AB44*60</f>
        <v>13.779831932773108</v>
      </c>
      <c r="AE44" s="18">
        <f t="shared" ref="AE44:AE66" si="34">$F44/AC44*60</f>
        <v>12.329323308270679</v>
      </c>
    </row>
    <row r="45" spans="1:31" x14ac:dyDescent="0.25">
      <c r="A45" s="11" t="s">
        <v>292</v>
      </c>
      <c r="B45" s="11" t="s">
        <v>296</v>
      </c>
      <c r="C45" s="11" t="s">
        <v>294</v>
      </c>
      <c r="D45" s="11" t="s">
        <v>297</v>
      </c>
      <c r="E45" s="7">
        <v>4.7300000190734863</v>
      </c>
      <c r="F45" s="7">
        <f>F44+E45</f>
        <v>20.050000019073487</v>
      </c>
      <c r="G45" s="3" t="s">
        <v>295</v>
      </c>
      <c r="H45" s="3" t="s">
        <v>298</v>
      </c>
      <c r="I45" s="22">
        <f t="shared" si="26"/>
        <v>4.7300000190734863</v>
      </c>
      <c r="J45" s="22">
        <f t="shared" si="27"/>
        <v>1.9073485901799359E-8</v>
      </c>
      <c r="K45" s="23"/>
      <c r="L45" s="23"/>
      <c r="M45" s="23"/>
      <c r="N45" s="23">
        <v>4.7300000000000004</v>
      </c>
      <c r="O45" s="23"/>
      <c r="P45" s="23"/>
      <c r="Q45" s="23"/>
      <c r="R45" s="23"/>
      <c r="S45" s="23"/>
      <c r="T45" s="23"/>
      <c r="U45" s="23"/>
      <c r="V45" s="23"/>
      <c r="W45" s="22">
        <f t="shared" si="28"/>
        <v>4.7300000114440914</v>
      </c>
      <c r="X45" s="7">
        <f>X44+W45</f>
        <v>16.442857154301233</v>
      </c>
      <c r="Y45" s="73"/>
      <c r="Z45" s="24">
        <f t="shared" si="29"/>
        <v>60.000000096778798</v>
      </c>
      <c r="AA45" s="24">
        <f t="shared" si="30"/>
        <v>73.162467438313811</v>
      </c>
      <c r="AB45" s="25">
        <f t="shared" si="31"/>
        <v>62.18809732256674</v>
      </c>
      <c r="AC45" s="25">
        <f t="shared" si="32"/>
        <v>69.504344066398119</v>
      </c>
      <c r="AD45" s="25">
        <f t="shared" si="33"/>
        <v>19.344537828589687</v>
      </c>
      <c r="AE45" s="25">
        <f t="shared" si="34"/>
        <v>17.308270688738141</v>
      </c>
    </row>
    <row r="46" spans="1:31" x14ac:dyDescent="0.25">
      <c r="A46" s="10" t="s">
        <v>292</v>
      </c>
      <c r="B46" s="10" t="s">
        <v>299</v>
      </c>
      <c r="C46" s="10" t="s">
        <v>294</v>
      </c>
      <c r="D46" s="10" t="s">
        <v>300</v>
      </c>
      <c r="E46" s="6">
        <v>13.07</v>
      </c>
      <c r="F46" s="6">
        <f>F44+E46</f>
        <v>28.39</v>
      </c>
      <c r="G46" s="1" t="s">
        <v>295</v>
      </c>
      <c r="H46" s="1" t="s">
        <v>301</v>
      </c>
      <c r="I46" s="17">
        <f t="shared" si="26"/>
        <v>13.07</v>
      </c>
      <c r="J46" s="17">
        <f t="shared" si="27"/>
        <v>0</v>
      </c>
      <c r="K46" s="2">
        <v>10.48</v>
      </c>
      <c r="M46" s="2">
        <f>0.75+0.6</f>
        <v>1.35</v>
      </c>
      <c r="N46" s="2">
        <f>0.44+0.6</f>
        <v>1.04</v>
      </c>
      <c r="Q46" s="2">
        <v>0.2</v>
      </c>
      <c r="W46" s="17">
        <f t="shared" si="28"/>
        <v>9.5838095238095242</v>
      </c>
      <c r="X46" s="6">
        <f>X44+W46</f>
        <v>21.296666666666667</v>
      </c>
      <c r="Y46" s="72"/>
      <c r="Z46" s="21">
        <f t="shared" si="29"/>
        <v>81.825499354069365</v>
      </c>
      <c r="AA46" s="21">
        <f t="shared" si="30"/>
        <v>79.98434809829395</v>
      </c>
      <c r="AB46" s="18">
        <f t="shared" si="31"/>
        <v>67.986695883549856</v>
      </c>
      <c r="AC46" s="18">
        <f t="shared" si="32"/>
        <v>75.985130693379247</v>
      </c>
      <c r="AD46" s="18">
        <f t="shared" si="33"/>
        <v>25.054901960784314</v>
      </c>
      <c r="AE46" s="18">
        <f t="shared" si="34"/>
        <v>22.417543859649122</v>
      </c>
    </row>
    <row r="47" spans="1:31" x14ac:dyDescent="0.25">
      <c r="A47" s="10" t="s">
        <v>292</v>
      </c>
      <c r="B47" s="10" t="s">
        <v>302</v>
      </c>
      <c r="C47" s="10" t="s">
        <v>300</v>
      </c>
      <c r="D47" s="10" t="s">
        <v>303</v>
      </c>
      <c r="E47" s="6">
        <v>7.81</v>
      </c>
      <c r="F47" s="6">
        <f t="shared" ref="F47:F53" si="35">F46+E47</f>
        <v>36.200000000000003</v>
      </c>
      <c r="G47" s="1" t="s">
        <v>301</v>
      </c>
      <c r="H47" s="1" t="s">
        <v>304</v>
      </c>
      <c r="I47" s="17">
        <f t="shared" si="26"/>
        <v>7.81</v>
      </c>
      <c r="J47" s="17">
        <f t="shared" si="27"/>
        <v>0</v>
      </c>
      <c r="M47" s="2">
        <v>7.81</v>
      </c>
      <c r="W47" s="17">
        <f t="shared" si="28"/>
        <v>6.694285714285714</v>
      </c>
      <c r="X47" s="6">
        <f t="shared" ref="X47:X53" si="36">X46+W47</f>
        <v>27.990952380952379</v>
      </c>
      <c r="Y47" s="72"/>
      <c r="Z47" s="21">
        <f t="shared" si="29"/>
        <v>70</v>
      </c>
      <c r="AA47" s="21">
        <f t="shared" si="30"/>
        <v>77.596502271142043</v>
      </c>
      <c r="AB47" s="18">
        <f t="shared" si="31"/>
        <v>65.957026930470732</v>
      </c>
      <c r="AC47" s="18">
        <f t="shared" si="32"/>
        <v>73.71667715758494</v>
      </c>
      <c r="AD47" s="18">
        <f t="shared" si="33"/>
        <v>32.930532212885154</v>
      </c>
      <c r="AE47" s="18">
        <f t="shared" si="34"/>
        <v>29.464160401002506</v>
      </c>
    </row>
    <row r="48" spans="1:31" x14ac:dyDescent="0.25">
      <c r="A48" s="10" t="s">
        <v>292</v>
      </c>
      <c r="B48" s="10" t="s">
        <v>305</v>
      </c>
      <c r="C48" s="10" t="s">
        <v>303</v>
      </c>
      <c r="D48" s="10" t="s">
        <v>306</v>
      </c>
      <c r="E48" s="6">
        <v>6.6100001335144043</v>
      </c>
      <c r="F48" s="6">
        <f t="shared" si="35"/>
        <v>42.810000133514407</v>
      </c>
      <c r="G48" s="1" t="s">
        <v>304</v>
      </c>
      <c r="H48" s="1" t="s">
        <v>445</v>
      </c>
      <c r="I48" s="17">
        <f t="shared" si="26"/>
        <v>6.6100001335144043</v>
      </c>
      <c r="J48" s="17">
        <f t="shared" si="27"/>
        <v>1.3351440397713077E-7</v>
      </c>
      <c r="M48" s="2">
        <v>6.61</v>
      </c>
      <c r="W48" s="17">
        <f t="shared" si="28"/>
        <v>5.6657143658229279</v>
      </c>
      <c r="X48" s="6">
        <f t="shared" si="36"/>
        <v>33.656666746775308</v>
      </c>
      <c r="Y48" s="72"/>
      <c r="Z48" s="21">
        <f t="shared" si="29"/>
        <v>70.000000424175866</v>
      </c>
      <c r="AA48" s="21">
        <f t="shared" si="30"/>
        <v>76.317718190467147</v>
      </c>
      <c r="AB48" s="18">
        <f t="shared" si="31"/>
        <v>64.870060461897069</v>
      </c>
      <c r="AC48" s="18">
        <f t="shared" si="32"/>
        <v>72.501832280943788</v>
      </c>
      <c r="AD48" s="18">
        <f t="shared" si="33"/>
        <v>39.596078525618012</v>
      </c>
      <c r="AE48" s="18">
        <f t="shared" si="34"/>
        <v>35.42807025976348</v>
      </c>
    </row>
    <row r="49" spans="1:31" x14ac:dyDescent="0.25">
      <c r="A49" s="11" t="s">
        <v>319</v>
      </c>
      <c r="B49" s="11"/>
      <c r="C49" s="13" t="s">
        <v>372</v>
      </c>
      <c r="D49" s="11" t="s">
        <v>439</v>
      </c>
      <c r="E49" s="7">
        <v>5.5</v>
      </c>
      <c r="F49" s="7">
        <f>F48+E49</f>
        <v>48.310000133514407</v>
      </c>
      <c r="G49" s="3" t="s">
        <v>445</v>
      </c>
      <c r="H49" s="3" t="s">
        <v>440</v>
      </c>
      <c r="I49" s="22">
        <f t="shared" si="26"/>
        <v>5.5</v>
      </c>
      <c r="J49" s="22">
        <f t="shared" si="27"/>
        <v>0</v>
      </c>
      <c r="K49" s="23"/>
      <c r="L49" s="23"/>
      <c r="M49" s="23"/>
      <c r="N49" s="23"/>
      <c r="O49" s="23">
        <v>0.4</v>
      </c>
      <c r="P49" s="23">
        <f>0.1+1.625</f>
        <v>1.7250000000000001</v>
      </c>
      <c r="Q49" s="23">
        <f>1.625+0.875</f>
        <v>2.5</v>
      </c>
      <c r="R49" s="23">
        <v>0.875</v>
      </c>
      <c r="S49" s="23"/>
      <c r="T49" s="23"/>
      <c r="U49" s="23"/>
      <c r="V49" s="23"/>
      <c r="W49" s="22">
        <f t="shared" si="28"/>
        <v>10.1675</v>
      </c>
      <c r="X49" s="7">
        <f>X48+W49</f>
        <v>43.824166746775305</v>
      </c>
      <c r="Y49" s="73"/>
      <c r="Z49" s="24">
        <f t="shared" si="29"/>
        <v>32.45635603639046</v>
      </c>
      <c r="AA49" s="24">
        <f t="shared" si="30"/>
        <v>66.141588607024701</v>
      </c>
      <c r="AB49" s="25">
        <f t="shared" si="31"/>
        <v>56.220350315970997</v>
      </c>
      <c r="AC49" s="25">
        <f t="shared" si="32"/>
        <v>62.834509176673464</v>
      </c>
      <c r="AD49" s="25">
        <f t="shared" si="33"/>
        <v>51.557843231500364</v>
      </c>
      <c r="AE49" s="25">
        <f t="shared" si="34"/>
        <v>46.130701838710849</v>
      </c>
    </row>
    <row r="50" spans="1:31" x14ac:dyDescent="0.25">
      <c r="A50" s="10" t="s">
        <v>292</v>
      </c>
      <c r="B50" s="10" t="s">
        <v>307</v>
      </c>
      <c r="C50" s="10" t="s">
        <v>306</v>
      </c>
      <c r="D50" s="10" t="s">
        <v>308</v>
      </c>
      <c r="E50" s="6">
        <v>7.19</v>
      </c>
      <c r="F50" s="6">
        <f>F48+E50</f>
        <v>50.000000133514405</v>
      </c>
      <c r="G50" s="1" t="s">
        <v>445</v>
      </c>
      <c r="H50" s="1" t="s">
        <v>309</v>
      </c>
      <c r="I50" s="17">
        <f t="shared" si="26"/>
        <v>7.19</v>
      </c>
      <c r="J50" s="17">
        <f t="shared" si="27"/>
        <v>0</v>
      </c>
      <c r="L50" s="2">
        <v>4.49</v>
      </c>
      <c r="M50" s="2">
        <v>2.7</v>
      </c>
      <c r="W50" s="17">
        <f t="shared" si="28"/>
        <v>5.6817857142857147</v>
      </c>
      <c r="X50" s="6">
        <f>X48+W50</f>
        <v>39.338452461061024</v>
      </c>
      <c r="Y50" s="72"/>
      <c r="Z50" s="21">
        <f t="shared" si="29"/>
        <v>75.926833867622108</v>
      </c>
      <c r="AA50" s="21">
        <f t="shared" si="30"/>
        <v>76.261261445919857</v>
      </c>
      <c r="AB50" s="18">
        <f t="shared" si="31"/>
        <v>64.822072229031875</v>
      </c>
      <c r="AC50" s="18">
        <f t="shared" si="32"/>
        <v>72.448198373623867</v>
      </c>
      <c r="AD50" s="18">
        <f t="shared" si="33"/>
        <v>46.28053230713062</v>
      </c>
      <c r="AE50" s="18">
        <f t="shared" si="34"/>
        <v>41.408897327432655</v>
      </c>
    </row>
    <row r="51" spans="1:31" x14ac:dyDescent="0.25">
      <c r="A51" s="10" t="s">
        <v>292</v>
      </c>
      <c r="B51" s="10" t="s">
        <v>310</v>
      </c>
      <c r="C51" s="10" t="s">
        <v>308</v>
      </c>
      <c r="D51" s="10" t="s">
        <v>311</v>
      </c>
      <c r="E51" s="6">
        <v>5.25</v>
      </c>
      <c r="F51" s="6">
        <f t="shared" si="35"/>
        <v>55.250000133514405</v>
      </c>
      <c r="G51" s="1" t="s">
        <v>309</v>
      </c>
      <c r="H51" s="1" t="s">
        <v>312</v>
      </c>
      <c r="I51" s="17">
        <f t="shared" si="26"/>
        <v>5.25</v>
      </c>
      <c r="J51" s="17">
        <f t="shared" si="27"/>
        <v>0</v>
      </c>
      <c r="L51" s="2">
        <v>5.25</v>
      </c>
      <c r="W51" s="17">
        <f t="shared" si="28"/>
        <v>3.9375</v>
      </c>
      <c r="X51" s="6">
        <f t="shared" si="36"/>
        <v>43.275952461061024</v>
      </c>
      <c r="Y51" s="72"/>
      <c r="Z51" s="21">
        <f t="shared" si="29"/>
        <v>80</v>
      </c>
      <c r="AA51" s="21">
        <f t="shared" si="30"/>
        <v>76.601433810004423</v>
      </c>
      <c r="AB51" s="18">
        <f t="shared" si="31"/>
        <v>65.111218738503752</v>
      </c>
      <c r="AC51" s="18">
        <f t="shared" si="32"/>
        <v>72.771362119504204</v>
      </c>
      <c r="AD51" s="18">
        <f t="shared" si="33"/>
        <v>50.912885248307099</v>
      </c>
      <c r="AE51" s="18">
        <f t="shared" si="34"/>
        <v>45.553634169537922</v>
      </c>
    </row>
    <row r="52" spans="1:31" x14ac:dyDescent="0.25">
      <c r="A52" s="10" t="s">
        <v>292</v>
      </c>
      <c r="B52" s="10" t="s">
        <v>313</v>
      </c>
      <c r="C52" s="10" t="s">
        <v>311</v>
      </c>
      <c r="D52" s="10" t="s">
        <v>314</v>
      </c>
      <c r="E52" s="6">
        <v>4.5199999999999996</v>
      </c>
      <c r="F52" s="6">
        <f t="shared" si="35"/>
        <v>59.770000133514401</v>
      </c>
      <c r="G52" s="1" t="s">
        <v>312</v>
      </c>
      <c r="H52" s="1" t="s">
        <v>315</v>
      </c>
      <c r="I52" s="17">
        <f t="shared" si="26"/>
        <v>4.5199999999999996</v>
      </c>
      <c r="J52" s="17">
        <f t="shared" si="27"/>
        <v>0</v>
      </c>
      <c r="L52" s="2">
        <v>4.5199999999999996</v>
      </c>
      <c r="W52" s="17">
        <f t="shared" si="28"/>
        <v>3.3899999999999997</v>
      </c>
      <c r="X52" s="6">
        <f t="shared" si="36"/>
        <v>46.665952461061025</v>
      </c>
      <c r="Y52" s="72"/>
      <c r="Z52" s="21">
        <f t="shared" si="29"/>
        <v>80</v>
      </c>
      <c r="AA52" s="21">
        <f t="shared" si="30"/>
        <v>76.848319146668189</v>
      </c>
      <c r="AB52" s="18">
        <f t="shared" si="31"/>
        <v>65.321071274667958</v>
      </c>
      <c r="AC52" s="18">
        <f t="shared" si="32"/>
        <v>73.005903189334774</v>
      </c>
      <c r="AD52" s="18">
        <f t="shared" si="33"/>
        <v>54.901120542424742</v>
      </c>
      <c r="AE52" s="18">
        <f t="shared" si="34"/>
        <v>49.122055222169507</v>
      </c>
    </row>
    <row r="53" spans="1:31" x14ac:dyDescent="0.25">
      <c r="A53" s="10" t="s">
        <v>292</v>
      </c>
      <c r="B53" s="10" t="s">
        <v>316</v>
      </c>
      <c r="C53" s="10" t="s">
        <v>314</v>
      </c>
      <c r="D53" s="10" t="s">
        <v>317</v>
      </c>
      <c r="E53" s="6">
        <v>12.64</v>
      </c>
      <c r="F53" s="6">
        <f t="shared" si="35"/>
        <v>72.410000133514401</v>
      </c>
      <c r="G53" s="1" t="s">
        <v>315</v>
      </c>
      <c r="H53" s="1" t="s">
        <v>318</v>
      </c>
      <c r="I53" s="17">
        <f t="shared" si="26"/>
        <v>12.64</v>
      </c>
      <c r="J53" s="17">
        <f t="shared" si="27"/>
        <v>0</v>
      </c>
      <c r="L53" s="2">
        <v>12.64</v>
      </c>
      <c r="W53" s="17">
        <f t="shared" si="28"/>
        <v>9.48</v>
      </c>
      <c r="X53" s="6">
        <f t="shared" si="36"/>
        <v>56.145952461061029</v>
      </c>
      <c r="Y53" s="72"/>
      <c r="Z53" s="21">
        <f t="shared" si="29"/>
        <v>80</v>
      </c>
      <c r="AA53" s="21">
        <f t="shared" si="30"/>
        <v>77.380466758026401</v>
      </c>
      <c r="AB53" s="18">
        <f t="shared" si="31"/>
        <v>65.77339674432244</v>
      </c>
      <c r="AC53" s="18">
        <f t="shared" si="32"/>
        <v>73.511443420125076</v>
      </c>
      <c r="AD53" s="18">
        <f t="shared" si="33"/>
        <v>66.054061718895341</v>
      </c>
      <c r="AE53" s="18">
        <f t="shared" si="34"/>
        <v>59.101002590590568</v>
      </c>
    </row>
    <row r="54" spans="1:31" x14ac:dyDescent="0.25">
      <c r="A54" s="11" t="s">
        <v>319</v>
      </c>
      <c r="B54" s="11" t="s">
        <v>320</v>
      </c>
      <c r="C54" s="11" t="s">
        <v>317</v>
      </c>
      <c r="D54" s="11" t="s">
        <v>321</v>
      </c>
      <c r="E54" s="7">
        <v>6.89</v>
      </c>
      <c r="F54" s="14">
        <f>F53+E54</f>
        <v>79.300000133514402</v>
      </c>
      <c r="G54" s="3" t="s">
        <v>318</v>
      </c>
      <c r="H54" s="3" t="s">
        <v>322</v>
      </c>
      <c r="I54" s="22">
        <f t="shared" si="26"/>
        <v>6.89</v>
      </c>
      <c r="J54" s="22">
        <f t="shared" si="27"/>
        <v>0</v>
      </c>
      <c r="K54" s="23"/>
      <c r="L54" s="23"/>
      <c r="M54" s="23"/>
      <c r="N54" s="23"/>
      <c r="O54" s="23"/>
      <c r="P54" s="23"/>
      <c r="Q54" s="23"/>
      <c r="R54" s="23">
        <v>6.89</v>
      </c>
      <c r="S54" s="23"/>
      <c r="T54" s="23"/>
      <c r="U54" s="23"/>
      <c r="V54" s="23"/>
      <c r="W54" s="22">
        <f t="shared" si="28"/>
        <v>16.536000000000001</v>
      </c>
      <c r="X54" s="14">
        <f>X53+W54</f>
        <v>72.68195246106103</v>
      </c>
      <c r="Y54" s="75"/>
      <c r="Z54" s="24">
        <f t="shared" si="29"/>
        <v>24.999999999999996</v>
      </c>
      <c r="AA54" s="24">
        <f t="shared" si="30"/>
        <v>65.463293801304204</v>
      </c>
      <c r="AB54" s="25">
        <f t="shared" si="31"/>
        <v>55.643799731108572</v>
      </c>
      <c r="AC54" s="25">
        <f t="shared" si="32"/>
        <v>62.190129111238988</v>
      </c>
      <c r="AD54" s="25">
        <f t="shared" si="33"/>
        <v>85.508179365954177</v>
      </c>
      <c r="AE54" s="25">
        <f t="shared" si="34"/>
        <v>76.507318380064262</v>
      </c>
    </row>
    <row r="55" spans="1:31" x14ac:dyDescent="0.25">
      <c r="A55" s="10" t="s">
        <v>292</v>
      </c>
      <c r="B55" s="10" t="s">
        <v>323</v>
      </c>
      <c r="C55" s="10" t="s">
        <v>317</v>
      </c>
      <c r="D55" s="10" t="s">
        <v>324</v>
      </c>
      <c r="E55" s="6">
        <v>6.27</v>
      </c>
      <c r="F55" s="6">
        <f>F53+E55</f>
        <v>78.680000133514397</v>
      </c>
      <c r="G55" s="1" t="s">
        <v>318</v>
      </c>
      <c r="H55" s="1" t="s">
        <v>325</v>
      </c>
      <c r="I55" s="17">
        <f t="shared" si="26"/>
        <v>6.27</v>
      </c>
      <c r="J55" s="17">
        <f t="shared" si="27"/>
        <v>0</v>
      </c>
      <c r="L55" s="2">
        <v>3.13</v>
      </c>
      <c r="M55" s="2">
        <v>3.14</v>
      </c>
      <c r="W55" s="17">
        <f t="shared" si="28"/>
        <v>5.0389285714285723</v>
      </c>
      <c r="X55" s="6">
        <f>X53+W55</f>
        <v>61.184881032489599</v>
      </c>
      <c r="Y55" s="72"/>
      <c r="Z55" s="21">
        <f t="shared" si="29"/>
        <v>74.658728471188581</v>
      </c>
      <c r="AA55" s="21">
        <f t="shared" si="30"/>
        <v>77.156315879801838</v>
      </c>
      <c r="AB55" s="18">
        <f t="shared" si="31"/>
        <v>65.582868497831555</v>
      </c>
      <c r="AC55" s="18">
        <f t="shared" si="32"/>
        <v>73.298500085811739</v>
      </c>
      <c r="AD55" s="18">
        <f t="shared" si="33"/>
        <v>71.982212979399549</v>
      </c>
      <c r="AE55" s="18">
        <f t="shared" si="34"/>
        <v>64.405137928936426</v>
      </c>
    </row>
    <row r="56" spans="1:31" x14ac:dyDescent="0.25">
      <c r="A56" s="10" t="s">
        <v>292</v>
      </c>
      <c r="B56" s="10" t="s">
        <v>326</v>
      </c>
      <c r="C56" s="10" t="s">
        <v>324</v>
      </c>
      <c r="D56" s="10" t="s">
        <v>327</v>
      </c>
      <c r="E56" s="6">
        <v>0.67</v>
      </c>
      <c r="F56" s="6">
        <f>F55+E56</f>
        <v>79.350000133514399</v>
      </c>
      <c r="G56" s="1" t="s">
        <v>325</v>
      </c>
      <c r="H56" s="1" t="s">
        <v>328</v>
      </c>
      <c r="I56" s="17">
        <f t="shared" si="26"/>
        <v>0.67</v>
      </c>
      <c r="J56" s="17">
        <f t="shared" si="27"/>
        <v>0</v>
      </c>
      <c r="O56" s="2">
        <v>0.67</v>
      </c>
      <c r="W56" s="17">
        <f t="shared" si="28"/>
        <v>0.80400000000000005</v>
      </c>
      <c r="X56" s="6">
        <f>X55+W56</f>
        <v>61.988881032489601</v>
      </c>
      <c r="Y56" s="72"/>
      <c r="Z56" s="21">
        <f t="shared" si="29"/>
        <v>50</v>
      </c>
      <c r="AA56" s="21">
        <f t="shared" si="30"/>
        <v>76.804096617190581</v>
      </c>
      <c r="AB56" s="18">
        <f t="shared" si="31"/>
        <v>65.283482124611993</v>
      </c>
      <c r="AC56" s="18">
        <f t="shared" si="32"/>
        <v>72.963891786331047</v>
      </c>
      <c r="AD56" s="18">
        <f t="shared" si="33"/>
        <v>72.928095332340703</v>
      </c>
      <c r="AE56" s="18">
        <f t="shared" si="34"/>
        <v>65.251453718410104</v>
      </c>
    </row>
    <row r="57" spans="1:31" x14ac:dyDescent="0.25">
      <c r="A57" s="11" t="s">
        <v>292</v>
      </c>
      <c r="B57" s="11" t="s">
        <v>329</v>
      </c>
      <c r="C57" s="11" t="s">
        <v>327</v>
      </c>
      <c r="D57" s="11" t="s">
        <v>330</v>
      </c>
      <c r="E57" s="7">
        <v>2.12</v>
      </c>
      <c r="F57" s="7">
        <f>F56+E57</f>
        <v>81.470000133514404</v>
      </c>
      <c r="G57" s="3" t="s">
        <v>328</v>
      </c>
      <c r="H57" s="3" t="s">
        <v>331</v>
      </c>
      <c r="I57" s="22">
        <f t="shared" si="26"/>
        <v>2.12</v>
      </c>
      <c r="J57" s="22">
        <f t="shared" si="27"/>
        <v>0</v>
      </c>
      <c r="K57" s="23"/>
      <c r="L57" s="23"/>
      <c r="M57" s="23"/>
      <c r="N57" s="23"/>
      <c r="O57" s="23"/>
      <c r="P57" s="23"/>
      <c r="Q57" s="23">
        <v>2.12</v>
      </c>
      <c r="R57" s="23"/>
      <c r="S57" s="23"/>
      <c r="T57" s="23"/>
      <c r="U57" s="23"/>
      <c r="V57" s="23"/>
      <c r="W57" s="22">
        <f t="shared" si="28"/>
        <v>4.24</v>
      </c>
      <c r="X57" s="7">
        <f>X56+W57</f>
        <v>66.228881032489596</v>
      </c>
      <c r="Y57" s="73"/>
      <c r="Z57" s="24">
        <f t="shared" si="29"/>
        <v>30</v>
      </c>
      <c r="AA57" s="24">
        <f t="shared" si="30"/>
        <v>73.807679245145067</v>
      </c>
      <c r="AB57" s="25">
        <f t="shared" si="31"/>
        <v>62.736527358373309</v>
      </c>
      <c r="AC57" s="25">
        <f t="shared" si="32"/>
        <v>70.11729528288781</v>
      </c>
      <c r="AD57" s="25">
        <f t="shared" si="33"/>
        <v>77.916330626458347</v>
      </c>
      <c r="AE57" s="25">
        <f t="shared" si="34"/>
        <v>69.714611613146957</v>
      </c>
    </row>
    <row r="58" spans="1:31" x14ac:dyDescent="0.25">
      <c r="A58" s="11" t="s">
        <v>292</v>
      </c>
      <c r="B58" s="11" t="s">
        <v>332</v>
      </c>
      <c r="C58" s="11" t="s">
        <v>330</v>
      </c>
      <c r="D58" s="11" t="s">
        <v>333</v>
      </c>
      <c r="E58" s="7">
        <v>8.5399999999999991</v>
      </c>
      <c r="F58" s="7">
        <f>F57+E58</f>
        <v>90.01000013351441</v>
      </c>
      <c r="G58" s="3" t="s">
        <v>331</v>
      </c>
      <c r="H58" s="3" t="s">
        <v>334</v>
      </c>
      <c r="I58" s="22">
        <f t="shared" si="26"/>
        <v>8.5399999999999991</v>
      </c>
      <c r="J58" s="22">
        <f t="shared" si="27"/>
        <v>0</v>
      </c>
      <c r="K58" s="23"/>
      <c r="L58" s="23"/>
      <c r="M58" s="23"/>
      <c r="N58" s="23"/>
      <c r="O58" s="23"/>
      <c r="P58" s="23">
        <v>4.2699999999999996</v>
      </c>
      <c r="Q58" s="23">
        <v>4.2699999999999996</v>
      </c>
      <c r="R58" s="23"/>
      <c r="S58" s="23"/>
      <c r="T58" s="23"/>
      <c r="U58" s="23"/>
      <c r="V58" s="23"/>
      <c r="W58" s="22">
        <f t="shared" si="28"/>
        <v>14.944999999999999</v>
      </c>
      <c r="X58" s="7">
        <f>X57+W58</f>
        <v>81.173881032489589</v>
      </c>
      <c r="Y58" s="73"/>
      <c r="Z58" s="24">
        <f t="shared" si="29"/>
        <v>34.285714285714285</v>
      </c>
      <c r="AA58" s="24">
        <f t="shared" si="30"/>
        <v>66.531252902017727</v>
      </c>
      <c r="AB58" s="25">
        <f t="shared" si="31"/>
        <v>56.551564966715063</v>
      </c>
      <c r="AC58" s="25">
        <f t="shared" si="32"/>
        <v>63.204690256916834</v>
      </c>
      <c r="AD58" s="25">
        <f t="shared" si="33"/>
        <v>95.498683567634828</v>
      </c>
      <c r="AE58" s="25">
        <f t="shared" si="34"/>
        <v>85.446190560515362</v>
      </c>
    </row>
    <row r="59" spans="1:31" x14ac:dyDescent="0.25">
      <c r="A59" s="11" t="s">
        <v>292</v>
      </c>
      <c r="B59" s="11" t="s">
        <v>335</v>
      </c>
      <c r="C59" s="11" t="s">
        <v>333</v>
      </c>
      <c r="D59" s="11" t="s">
        <v>336</v>
      </c>
      <c r="E59" s="7">
        <v>11.8</v>
      </c>
      <c r="F59" s="7">
        <f>F58+E59</f>
        <v>101.81000013351441</v>
      </c>
      <c r="G59" s="3" t="s">
        <v>334</v>
      </c>
      <c r="H59" s="3" t="s">
        <v>337</v>
      </c>
      <c r="I59" s="22">
        <f t="shared" si="26"/>
        <v>11.8</v>
      </c>
      <c r="J59" s="22">
        <f t="shared" si="27"/>
        <v>0</v>
      </c>
      <c r="K59" s="23"/>
      <c r="L59" s="23"/>
      <c r="M59" s="23"/>
      <c r="N59" s="23"/>
      <c r="O59" s="23"/>
      <c r="P59" s="23">
        <v>9</v>
      </c>
      <c r="Q59" s="23">
        <v>2.8</v>
      </c>
      <c r="R59" s="23"/>
      <c r="S59" s="23"/>
      <c r="T59" s="23"/>
      <c r="U59" s="23"/>
      <c r="V59" s="23"/>
      <c r="W59" s="22">
        <f t="shared" si="28"/>
        <v>19.100000000000001</v>
      </c>
      <c r="X59" s="7">
        <f>X58+W59</f>
        <v>100.27388103248958</v>
      </c>
      <c r="Y59" s="73"/>
      <c r="Z59" s="24">
        <f t="shared" si="29"/>
        <v>37.068062827225127</v>
      </c>
      <c r="AA59" s="24">
        <f t="shared" si="30"/>
        <v>60.919154071952462</v>
      </c>
      <c r="AB59" s="25">
        <f t="shared" si="31"/>
        <v>51.781280961159595</v>
      </c>
      <c r="AC59" s="25">
        <f t="shared" si="32"/>
        <v>57.87319636835484</v>
      </c>
      <c r="AD59" s="25">
        <f t="shared" si="33"/>
        <v>117.96927180292892</v>
      </c>
      <c r="AE59" s="25">
        <f t="shared" si="34"/>
        <v>105.55145371841009</v>
      </c>
    </row>
    <row r="60" spans="1:31" x14ac:dyDescent="0.25">
      <c r="A60" s="10" t="s">
        <v>292</v>
      </c>
      <c r="B60" s="10" t="s">
        <v>338</v>
      </c>
      <c r="C60" s="10" t="s">
        <v>327</v>
      </c>
      <c r="D60" s="10" t="s">
        <v>339</v>
      </c>
      <c r="E60" s="6">
        <v>7.84</v>
      </c>
      <c r="F60" s="6">
        <f>F56+E60</f>
        <v>87.190000133514403</v>
      </c>
      <c r="G60" s="1" t="s">
        <v>328</v>
      </c>
      <c r="H60" s="1" t="s">
        <v>340</v>
      </c>
      <c r="I60" s="17">
        <f t="shared" si="26"/>
        <v>7.84</v>
      </c>
      <c r="J60" s="17">
        <f t="shared" si="27"/>
        <v>0</v>
      </c>
      <c r="M60" s="2">
        <v>0.54</v>
      </c>
      <c r="N60" s="2">
        <v>7.3</v>
      </c>
      <c r="W60" s="17">
        <f t="shared" si="28"/>
        <v>7.7628571428571425</v>
      </c>
      <c r="X60" s="6">
        <f>X56+W60</f>
        <v>69.751738175346745</v>
      </c>
      <c r="Y60" s="72"/>
      <c r="Z60" s="18">
        <f t="shared" si="29"/>
        <v>60.596245859403759</v>
      </c>
      <c r="AA60" s="21">
        <f t="shared" si="30"/>
        <v>75.000281639717841</v>
      </c>
      <c r="AB60" s="18">
        <f t="shared" si="31"/>
        <v>63.750239393760161</v>
      </c>
      <c r="AC60" s="18">
        <f t="shared" si="32"/>
        <v>71.250267557731945</v>
      </c>
      <c r="AD60" s="18">
        <f t="shared" si="33"/>
        <v>82.060868441584404</v>
      </c>
      <c r="AE60" s="18">
        <f t="shared" si="34"/>
        <v>73.422882289838682</v>
      </c>
    </row>
    <row r="61" spans="1:31" x14ac:dyDescent="0.25">
      <c r="A61" s="11" t="s">
        <v>292</v>
      </c>
      <c r="B61" s="11" t="s">
        <v>341</v>
      </c>
      <c r="C61" s="11" t="s">
        <v>339</v>
      </c>
      <c r="D61" s="11" t="s">
        <v>342</v>
      </c>
      <c r="E61" s="7">
        <v>3.45</v>
      </c>
      <c r="F61" s="7">
        <f>F60+E61</f>
        <v>90.640000133514405</v>
      </c>
      <c r="G61" s="3" t="s">
        <v>340</v>
      </c>
      <c r="H61" s="3" t="s">
        <v>343</v>
      </c>
      <c r="I61" s="22">
        <f t="shared" si="26"/>
        <v>3.45</v>
      </c>
      <c r="J61" s="22">
        <f t="shared" ref="J61:J66" si="37">I61-SUM(K61:V61)</f>
        <v>0</v>
      </c>
      <c r="K61" s="23"/>
      <c r="L61" s="23"/>
      <c r="M61" s="23"/>
      <c r="N61" s="23"/>
      <c r="O61" s="23">
        <v>2.95</v>
      </c>
      <c r="P61" s="23">
        <v>0.5</v>
      </c>
      <c r="Q61" s="23"/>
      <c r="R61" s="23"/>
      <c r="S61" s="23"/>
      <c r="T61" s="23"/>
      <c r="U61" s="23"/>
      <c r="V61" s="23"/>
      <c r="W61" s="22">
        <f t="shared" si="28"/>
        <v>4.2900000000000009</v>
      </c>
      <c r="X61" s="7">
        <f>X60+W61</f>
        <v>74.041738175346751</v>
      </c>
      <c r="Y61" s="73"/>
      <c r="Z61" s="24">
        <f t="shared" ref="Z61:Z66" si="38">I61/W61*60</f>
        <v>48.251748251748246</v>
      </c>
      <c r="AA61" s="24">
        <f t="shared" ref="AA61:AA66" si="39">F61/X61*60</f>
        <v>73.450463779382972</v>
      </c>
      <c r="AB61" s="25">
        <f t="shared" ref="AB61:AB66" si="40">AA61*0.85</f>
        <v>62.432894212475524</v>
      </c>
      <c r="AC61" s="25">
        <f t="shared" si="32"/>
        <v>69.77794059041382</v>
      </c>
      <c r="AD61" s="25">
        <f t="shared" si="33"/>
        <v>87.10792726511383</v>
      </c>
      <c r="AE61" s="25">
        <f t="shared" si="34"/>
        <v>77.938671763522905</v>
      </c>
    </row>
    <row r="62" spans="1:31" x14ac:dyDescent="0.25">
      <c r="A62" s="11" t="s">
        <v>292</v>
      </c>
      <c r="B62" s="11" t="s">
        <v>344</v>
      </c>
      <c r="C62" s="11" t="s">
        <v>342</v>
      </c>
      <c r="D62" s="11" t="s">
        <v>345</v>
      </c>
      <c r="E62" s="7">
        <v>5.9</v>
      </c>
      <c r="F62" s="7">
        <f>F61+E62</f>
        <v>96.540000133514411</v>
      </c>
      <c r="G62" s="3" t="s">
        <v>343</v>
      </c>
      <c r="H62" s="3" t="s">
        <v>346</v>
      </c>
      <c r="I62" s="22">
        <f t="shared" si="26"/>
        <v>5.9</v>
      </c>
      <c r="J62" s="22">
        <f t="shared" si="37"/>
        <v>0</v>
      </c>
      <c r="K62" s="23"/>
      <c r="L62" s="23"/>
      <c r="M62" s="23"/>
      <c r="N62" s="23"/>
      <c r="O62" s="23">
        <v>5.2</v>
      </c>
      <c r="P62" s="23">
        <v>0.7</v>
      </c>
      <c r="Q62" s="23"/>
      <c r="R62" s="23"/>
      <c r="S62" s="23"/>
      <c r="T62" s="23"/>
      <c r="U62" s="23"/>
      <c r="V62" s="23"/>
      <c r="W62" s="22">
        <f t="shared" si="28"/>
        <v>7.2900000000000009</v>
      </c>
      <c r="X62" s="7">
        <f>X61+W62</f>
        <v>81.331738175346757</v>
      </c>
      <c r="Y62" s="73"/>
      <c r="Z62" s="24">
        <f t="shared" si="38"/>
        <v>48.559670781892997</v>
      </c>
      <c r="AA62" s="24">
        <f t="shared" si="39"/>
        <v>71.219429683437582</v>
      </c>
      <c r="AB62" s="25">
        <f t="shared" si="40"/>
        <v>60.536515230921943</v>
      </c>
      <c r="AC62" s="25">
        <f t="shared" si="32"/>
        <v>67.658458199265695</v>
      </c>
      <c r="AD62" s="25">
        <f t="shared" si="33"/>
        <v>95.684397853349139</v>
      </c>
      <c r="AE62" s="25">
        <f t="shared" si="34"/>
        <v>85.612355974049223</v>
      </c>
    </row>
    <row r="63" spans="1:31" x14ac:dyDescent="0.25">
      <c r="A63" s="11" t="s">
        <v>292</v>
      </c>
      <c r="B63" s="11" t="s">
        <v>347</v>
      </c>
      <c r="C63" s="11" t="s">
        <v>345</v>
      </c>
      <c r="D63" s="11" t="s">
        <v>348</v>
      </c>
      <c r="E63" s="7">
        <v>2.61</v>
      </c>
      <c r="F63" s="7">
        <f>F62+E63</f>
        <v>99.150000133514411</v>
      </c>
      <c r="G63" s="3" t="s">
        <v>346</v>
      </c>
      <c r="H63" s="3" t="s">
        <v>349</v>
      </c>
      <c r="I63" s="22">
        <f t="shared" si="26"/>
        <v>2.61</v>
      </c>
      <c r="J63" s="22">
        <f t="shared" si="37"/>
        <v>0</v>
      </c>
      <c r="K63" s="23"/>
      <c r="L63" s="23"/>
      <c r="M63" s="23"/>
      <c r="N63" s="23"/>
      <c r="O63" s="23">
        <v>2.19</v>
      </c>
      <c r="P63" s="23">
        <v>0.42</v>
      </c>
      <c r="Q63" s="23"/>
      <c r="R63" s="23"/>
      <c r="S63" s="23"/>
      <c r="T63" s="23"/>
      <c r="U63" s="23"/>
      <c r="V63" s="23"/>
      <c r="W63" s="22">
        <f t="shared" si="28"/>
        <v>3.258</v>
      </c>
      <c r="X63" s="7">
        <f>X62+W63</f>
        <v>84.589738175346753</v>
      </c>
      <c r="Y63" s="73"/>
      <c r="Z63" s="24">
        <f t="shared" si="38"/>
        <v>48.066298342541437</v>
      </c>
      <c r="AA63" s="24">
        <f t="shared" si="39"/>
        <v>70.32767964926353</v>
      </c>
      <c r="AB63" s="25">
        <f t="shared" si="40"/>
        <v>59.778527701873998</v>
      </c>
      <c r="AC63" s="25">
        <f t="shared" si="32"/>
        <v>66.811295666800348</v>
      </c>
      <c r="AD63" s="25">
        <f t="shared" si="33"/>
        <v>99.517339029819723</v>
      </c>
      <c r="AE63" s="25">
        <f t="shared" si="34"/>
        <v>89.041829658259758</v>
      </c>
    </row>
    <row r="64" spans="1:31" x14ac:dyDescent="0.25">
      <c r="A64" s="11" t="s">
        <v>292</v>
      </c>
      <c r="B64" s="11" t="s">
        <v>350</v>
      </c>
      <c r="C64" s="11" t="s">
        <v>348</v>
      </c>
      <c r="D64" s="11" t="s">
        <v>351</v>
      </c>
      <c r="E64" s="7">
        <v>11.63</v>
      </c>
      <c r="F64" s="7">
        <f>F63+E64</f>
        <v>110.78000013351441</v>
      </c>
      <c r="G64" s="3" t="s">
        <v>349</v>
      </c>
      <c r="H64" s="3" t="s">
        <v>352</v>
      </c>
      <c r="I64" s="22">
        <f t="shared" si="26"/>
        <v>11.63</v>
      </c>
      <c r="J64" s="22">
        <f t="shared" si="37"/>
        <v>0</v>
      </c>
      <c r="K64" s="23"/>
      <c r="L64" s="23"/>
      <c r="M64" s="23"/>
      <c r="N64" s="23"/>
      <c r="O64" s="23"/>
      <c r="P64" s="23">
        <v>5.82</v>
      </c>
      <c r="Q64" s="23">
        <v>5.81</v>
      </c>
      <c r="R64" s="23"/>
      <c r="S64" s="23"/>
      <c r="T64" s="23"/>
      <c r="U64" s="23"/>
      <c r="V64" s="23"/>
      <c r="W64" s="22">
        <f t="shared" si="28"/>
        <v>20.350000000000001</v>
      </c>
      <c r="X64" s="7">
        <f>X63+W64</f>
        <v>104.93973817534675</v>
      </c>
      <c r="Y64" s="73"/>
      <c r="Z64" s="24">
        <f t="shared" si="38"/>
        <v>34.289926289926292</v>
      </c>
      <c r="AA64" s="24">
        <f t="shared" si="39"/>
        <v>63.339208993494353</v>
      </c>
      <c r="AB64" s="25">
        <f t="shared" si="40"/>
        <v>53.838327644470198</v>
      </c>
      <c r="AC64" s="25">
        <f t="shared" si="32"/>
        <v>60.172248543819634</v>
      </c>
      <c r="AD64" s="25">
        <f t="shared" si="33"/>
        <v>123.45851550040791</v>
      </c>
      <c r="AE64" s="25">
        <f t="shared" si="34"/>
        <v>110.46288228983866</v>
      </c>
    </row>
    <row r="65" spans="1:31" x14ac:dyDescent="0.25">
      <c r="A65" s="11"/>
      <c r="B65" s="11"/>
      <c r="C65" s="11"/>
      <c r="D65" s="11"/>
      <c r="E65" s="7">
        <v>6.5</v>
      </c>
      <c r="F65" s="7">
        <f>F64+E65</f>
        <v>117.28000013351441</v>
      </c>
      <c r="G65" s="3" t="s">
        <v>352</v>
      </c>
      <c r="H65" s="3" t="s">
        <v>433</v>
      </c>
      <c r="I65" s="22">
        <f t="shared" si="26"/>
        <v>6.5</v>
      </c>
      <c r="J65" s="22">
        <f t="shared" si="37"/>
        <v>0</v>
      </c>
      <c r="K65" s="23"/>
      <c r="L65" s="23"/>
      <c r="M65" s="23"/>
      <c r="N65" s="23"/>
      <c r="O65" s="23">
        <v>4</v>
      </c>
      <c r="P65" s="23">
        <v>2.5</v>
      </c>
      <c r="Q65" s="23"/>
      <c r="R65" s="23"/>
      <c r="S65" s="23"/>
      <c r="T65" s="23"/>
      <c r="U65" s="23"/>
      <c r="V65" s="23"/>
      <c r="W65" s="22">
        <f t="shared" si="28"/>
        <v>8.5500000000000007</v>
      </c>
      <c r="X65" s="7">
        <f>X64+W65</f>
        <v>113.48973817534674</v>
      </c>
      <c r="Y65" s="73"/>
      <c r="Z65" s="24">
        <f t="shared" si="38"/>
        <v>45.614035087719294</v>
      </c>
      <c r="AA65" s="24">
        <f t="shared" si="39"/>
        <v>62.003843881802702</v>
      </c>
      <c r="AB65" s="25">
        <f t="shared" si="40"/>
        <v>52.703267299532293</v>
      </c>
      <c r="AC65" s="25">
        <f>AA65*0.95</f>
        <v>58.903651687712561</v>
      </c>
      <c r="AD65" s="25">
        <f>$F65/AB65*60</f>
        <v>133.51733902981971</v>
      </c>
      <c r="AE65" s="25">
        <f>$F65/AC65*60</f>
        <v>119.4628822898387</v>
      </c>
    </row>
    <row r="66" spans="1:31" x14ac:dyDescent="0.25">
      <c r="A66" s="10" t="s">
        <v>292</v>
      </c>
      <c r="B66" s="10" t="s">
        <v>353</v>
      </c>
      <c r="C66" s="10" t="s">
        <v>339</v>
      </c>
      <c r="D66" s="10" t="s">
        <v>354</v>
      </c>
      <c r="E66" s="6">
        <v>8.2100000000000009</v>
      </c>
      <c r="F66" s="6">
        <f>F60+E66</f>
        <v>95.400000133514396</v>
      </c>
      <c r="G66" s="1" t="s">
        <v>340</v>
      </c>
      <c r="H66" s="1" t="s">
        <v>355</v>
      </c>
      <c r="I66" s="17">
        <f t="shared" si="26"/>
        <v>8.2100000000000009</v>
      </c>
      <c r="J66" s="17">
        <f t="shared" si="37"/>
        <v>0</v>
      </c>
      <c r="L66" s="2">
        <v>4.1100000000000003</v>
      </c>
      <c r="M66" s="2">
        <v>4.0999999999999996</v>
      </c>
      <c r="W66" s="17">
        <f t="shared" si="28"/>
        <v>6.5967857142857138</v>
      </c>
      <c r="X66" s="6">
        <f>X60+W66</f>
        <v>76.34852388963246</v>
      </c>
      <c r="Y66" s="72"/>
      <c r="Z66" s="21">
        <f t="shared" si="38"/>
        <v>74.67273022575931</v>
      </c>
      <c r="AA66" s="21">
        <f t="shared" si="39"/>
        <v>74.971980025250218</v>
      </c>
      <c r="AB66" s="18">
        <f t="shared" si="40"/>
        <v>63.726183021462681</v>
      </c>
      <c r="AC66" s="18">
        <f t="shared" si="32"/>
        <v>71.223381023987699</v>
      </c>
      <c r="AD66" s="18">
        <f t="shared" si="33"/>
        <v>89.821792811332301</v>
      </c>
      <c r="AE66" s="18">
        <f t="shared" si="34"/>
        <v>80.366867252244703</v>
      </c>
    </row>
    <row r="67" spans="1:31" x14ac:dyDescent="0.25">
      <c r="A67" s="10"/>
      <c r="B67" s="10"/>
      <c r="C67" s="10"/>
      <c r="D67" s="10"/>
      <c r="E67" s="6"/>
      <c r="F67" s="6"/>
      <c r="G67" s="1"/>
      <c r="H67" s="1"/>
      <c r="I67" s="17"/>
      <c r="J67" s="17"/>
      <c r="W67" s="17"/>
      <c r="X67" s="6"/>
      <c r="Y67" s="72"/>
    </row>
    <row r="68" spans="1:31" x14ac:dyDescent="0.25">
      <c r="A68" s="10"/>
      <c r="B68" s="10"/>
      <c r="C68" s="10"/>
      <c r="D68" s="10"/>
      <c r="E68" s="6"/>
      <c r="F68" s="6"/>
      <c r="G68" s="1"/>
      <c r="H68" s="1"/>
      <c r="I68" s="17"/>
      <c r="J68" s="17"/>
      <c r="W68" s="17"/>
      <c r="X68" s="6"/>
      <c r="Y68" s="72"/>
    </row>
    <row r="69" spans="1:31" x14ac:dyDescent="0.25">
      <c r="A69" s="10" t="s">
        <v>292</v>
      </c>
      <c r="B69" s="10" t="s">
        <v>356</v>
      </c>
      <c r="C69" s="10" t="s">
        <v>300</v>
      </c>
      <c r="D69" s="10" t="s">
        <v>357</v>
      </c>
      <c r="E69" s="6">
        <v>1.8</v>
      </c>
      <c r="F69" s="6">
        <f>F46+E69</f>
        <v>30.19</v>
      </c>
      <c r="G69" s="1" t="s">
        <v>301</v>
      </c>
      <c r="H69" s="1" t="s">
        <v>358</v>
      </c>
      <c r="I69" s="17">
        <f t="shared" ref="I69:I95" si="41">E69</f>
        <v>1.8</v>
      </c>
      <c r="J69" s="17">
        <f t="shared" ref="J69:J84" si="42">I69-SUM(K69:V69)</f>
        <v>0</v>
      </c>
      <c r="K69" s="2">
        <v>0.3</v>
      </c>
      <c r="M69" s="2">
        <v>1.5</v>
      </c>
      <c r="W69" s="17">
        <f t="shared" ref="W69:W95" si="43">(J69/J$1+K69/K$1+L69/L$1+M69/M$1+N69/N$1+O69/O$1+P69/P$1+Q69/Q$1+R69/R$1+S69/S$1+T69/T$1+U69/U$1+V69/V$1)*60</f>
        <v>1.4857142857142858</v>
      </c>
      <c r="X69" s="6">
        <f>X46+W69</f>
        <v>22.782380952380954</v>
      </c>
      <c r="Y69" s="72"/>
      <c r="Z69" s="21">
        <f t="shared" ref="Z69:Z84" si="44">I69/W69*60</f>
        <v>72.692307692307693</v>
      </c>
      <c r="AA69" s="21">
        <f t="shared" ref="AA69:AA84" si="45">F69/X69*60</f>
        <v>79.508810066258391</v>
      </c>
      <c r="AB69" s="18">
        <f t="shared" ref="AB69:AB84" si="46">AA69*0.85</f>
        <v>67.582488556319632</v>
      </c>
      <c r="AC69" s="18">
        <f t="shared" ref="AC69:AC95" si="47">AA69*0.95</f>
        <v>75.533369562945467</v>
      </c>
      <c r="AD69" s="18">
        <f t="shared" ref="AD69:AD94" si="48">$F69/AB69*60</f>
        <v>26.80280112044818</v>
      </c>
      <c r="AE69" s="18">
        <f t="shared" ref="AE69:AE95" si="49">$F69/AC69*60</f>
        <v>23.981453634085216</v>
      </c>
    </row>
    <row r="70" spans="1:31" ht="11.25" customHeight="1" x14ac:dyDescent="0.25">
      <c r="A70" s="10" t="s">
        <v>319</v>
      </c>
      <c r="B70" s="10" t="s">
        <v>359</v>
      </c>
      <c r="C70" s="10" t="s">
        <v>357</v>
      </c>
      <c r="D70" s="10" t="s">
        <v>360</v>
      </c>
      <c r="E70" s="6">
        <v>3</v>
      </c>
      <c r="F70" s="6">
        <f>F69+E70</f>
        <v>33.19</v>
      </c>
      <c r="G70" s="1" t="s">
        <v>358</v>
      </c>
      <c r="H70" s="1" t="s">
        <v>361</v>
      </c>
      <c r="I70" s="17">
        <f t="shared" si="41"/>
        <v>3</v>
      </c>
      <c r="J70" s="17">
        <f t="shared" si="42"/>
        <v>0</v>
      </c>
      <c r="K70" s="2">
        <v>2.7</v>
      </c>
      <c r="M70" s="2">
        <f>0.3</f>
        <v>0.3</v>
      </c>
      <c r="W70" s="17">
        <f t="shared" si="43"/>
        <v>2.0571428571428574</v>
      </c>
      <c r="X70" s="6">
        <f>X69+W70</f>
        <v>24.839523809523811</v>
      </c>
      <c r="Y70" s="72"/>
      <c r="Z70" s="21">
        <f t="shared" si="44"/>
        <v>87.5</v>
      </c>
      <c r="AA70" s="21">
        <f t="shared" si="45"/>
        <v>80.170619021145242</v>
      </c>
      <c r="AB70" s="18">
        <f t="shared" si="46"/>
        <v>68.145026167973455</v>
      </c>
      <c r="AC70" s="18">
        <f t="shared" si="47"/>
        <v>76.162088070087975</v>
      </c>
      <c r="AD70" s="18">
        <f t="shared" si="48"/>
        <v>29.222969187675073</v>
      </c>
      <c r="AE70" s="18">
        <f t="shared" si="49"/>
        <v>26.146867167919801</v>
      </c>
    </row>
    <row r="71" spans="1:31" x14ac:dyDescent="0.25">
      <c r="A71" s="11" t="s">
        <v>319</v>
      </c>
      <c r="B71" s="11" t="s">
        <v>362</v>
      </c>
      <c r="C71" s="11" t="s">
        <v>360</v>
      </c>
      <c r="D71" s="11" t="s">
        <v>363</v>
      </c>
      <c r="E71" s="7">
        <v>1.27</v>
      </c>
      <c r="F71" s="7">
        <f>F70+E71</f>
        <v>34.46</v>
      </c>
      <c r="G71" s="3" t="s">
        <v>361</v>
      </c>
      <c r="H71" s="3" t="s">
        <v>364</v>
      </c>
      <c r="I71" s="22">
        <f t="shared" si="41"/>
        <v>1.27</v>
      </c>
      <c r="J71" s="22">
        <f t="shared" si="42"/>
        <v>0</v>
      </c>
      <c r="K71" s="23"/>
      <c r="L71" s="23"/>
      <c r="M71" s="23"/>
      <c r="N71" s="23"/>
      <c r="O71" s="23">
        <v>1.27</v>
      </c>
      <c r="P71" s="23"/>
      <c r="Q71" s="23"/>
      <c r="R71" s="23"/>
      <c r="S71" s="23"/>
      <c r="T71" s="23"/>
      <c r="U71" s="23"/>
      <c r="V71" s="23"/>
      <c r="W71" s="22">
        <f t="shared" si="43"/>
        <v>1.524</v>
      </c>
      <c r="X71" s="7">
        <f>X70+W71</f>
        <v>26.363523809523812</v>
      </c>
      <c r="Y71" s="73"/>
      <c r="Z71" s="24">
        <f t="shared" si="44"/>
        <v>50</v>
      </c>
      <c r="AA71" s="24">
        <f t="shared" si="45"/>
        <v>78.42654172250981</v>
      </c>
      <c r="AB71" s="25">
        <f t="shared" si="46"/>
        <v>66.662560464133335</v>
      </c>
      <c r="AC71" s="25">
        <f t="shared" si="47"/>
        <v>74.505214636384324</v>
      </c>
      <c r="AD71" s="25">
        <f t="shared" si="48"/>
        <v>31.015910364145661</v>
      </c>
      <c r="AE71" s="25">
        <f t="shared" si="49"/>
        <v>27.75107769423559</v>
      </c>
    </row>
    <row r="72" spans="1:31" x14ac:dyDescent="0.25">
      <c r="A72" s="11" t="s">
        <v>319</v>
      </c>
      <c r="B72" s="11" t="s">
        <v>365</v>
      </c>
      <c r="C72" s="11" t="s">
        <v>363</v>
      </c>
      <c r="D72" s="11" t="s">
        <v>366</v>
      </c>
      <c r="E72" s="7">
        <v>9.92</v>
      </c>
      <c r="F72" s="7">
        <f>F71+E72</f>
        <v>44.38</v>
      </c>
      <c r="G72" s="3" t="s">
        <v>364</v>
      </c>
      <c r="H72" s="3" t="s">
        <v>367</v>
      </c>
      <c r="I72" s="22">
        <f t="shared" si="41"/>
        <v>9.92</v>
      </c>
      <c r="J72" s="22">
        <f t="shared" si="42"/>
        <v>0</v>
      </c>
      <c r="K72" s="23"/>
      <c r="L72" s="23"/>
      <c r="M72" s="23"/>
      <c r="N72" s="23"/>
      <c r="O72" s="23">
        <v>4.96</v>
      </c>
      <c r="P72" s="23">
        <v>4.96</v>
      </c>
      <c r="Q72" s="23"/>
      <c r="R72" s="23"/>
      <c r="S72" s="23"/>
      <c r="T72" s="23"/>
      <c r="U72" s="23"/>
      <c r="V72" s="23"/>
      <c r="W72" s="22">
        <f t="shared" si="43"/>
        <v>13.392000000000001</v>
      </c>
      <c r="X72" s="7">
        <f>X71+W72</f>
        <v>39.755523809523815</v>
      </c>
      <c r="Y72" s="73"/>
      <c r="Z72" s="24">
        <f t="shared" si="44"/>
        <v>44.444444444444443</v>
      </c>
      <c r="AA72" s="24">
        <f t="shared" si="45"/>
        <v>66.979371539863877</v>
      </c>
      <c r="AB72" s="25">
        <f t="shared" si="46"/>
        <v>56.932465808884295</v>
      </c>
      <c r="AC72" s="25">
        <f t="shared" si="47"/>
        <v>63.630402962870683</v>
      </c>
      <c r="AD72" s="25">
        <f t="shared" si="48"/>
        <v>46.771204481792722</v>
      </c>
      <c r="AE72" s="25">
        <f t="shared" si="49"/>
        <v>41.847919799498754</v>
      </c>
    </row>
    <row r="73" spans="1:31" x14ac:dyDescent="0.25">
      <c r="A73" s="11" t="s">
        <v>319</v>
      </c>
      <c r="B73" s="11" t="s">
        <v>368</v>
      </c>
      <c r="C73" s="11" t="s">
        <v>363</v>
      </c>
      <c r="D73" s="11" t="s">
        <v>369</v>
      </c>
      <c r="E73" s="7">
        <v>4.5199999999999996</v>
      </c>
      <c r="F73" s="14">
        <f>F71+E73</f>
        <v>38.980000000000004</v>
      </c>
      <c r="G73" s="3" t="s">
        <v>364</v>
      </c>
      <c r="H73" s="3" t="s">
        <v>370</v>
      </c>
      <c r="I73" s="22">
        <f t="shared" si="41"/>
        <v>4.5199999999999996</v>
      </c>
      <c r="J73" s="22">
        <f t="shared" si="42"/>
        <v>0</v>
      </c>
      <c r="K73" s="23"/>
      <c r="L73" s="23"/>
      <c r="M73" s="23"/>
      <c r="N73" s="23">
        <v>4.5199999999999996</v>
      </c>
      <c r="O73" s="23"/>
      <c r="P73" s="23"/>
      <c r="Q73" s="23"/>
      <c r="R73" s="23"/>
      <c r="S73" s="23"/>
      <c r="T73" s="23"/>
      <c r="U73" s="23"/>
      <c r="V73" s="23"/>
      <c r="W73" s="22">
        <f t="shared" si="43"/>
        <v>4.5199999999999996</v>
      </c>
      <c r="X73" s="14">
        <f>X71+W73</f>
        <v>30.883523809523812</v>
      </c>
      <c r="Y73" s="75"/>
      <c r="Z73" s="24">
        <f t="shared" si="44"/>
        <v>60</v>
      </c>
      <c r="AA73" s="24">
        <f t="shared" si="45"/>
        <v>75.729700225424551</v>
      </c>
      <c r="AB73" s="25">
        <f t="shared" si="46"/>
        <v>64.370245191610863</v>
      </c>
      <c r="AC73" s="25">
        <f t="shared" si="47"/>
        <v>71.943215214153327</v>
      </c>
      <c r="AD73" s="25">
        <f t="shared" si="48"/>
        <v>36.3335574229692</v>
      </c>
      <c r="AE73" s="25">
        <f t="shared" si="49"/>
        <v>32.508972431077702</v>
      </c>
    </row>
    <row r="74" spans="1:31" x14ac:dyDescent="0.25">
      <c r="A74" s="10" t="s">
        <v>319</v>
      </c>
      <c r="B74" s="10" t="s">
        <v>371</v>
      </c>
      <c r="C74" s="10" t="s">
        <v>360</v>
      </c>
      <c r="D74" s="10" t="s">
        <v>372</v>
      </c>
      <c r="E74" s="6">
        <v>11.27</v>
      </c>
      <c r="F74" s="6">
        <f>F70+E74</f>
        <v>44.459999999999994</v>
      </c>
      <c r="G74" s="1" t="s">
        <v>361</v>
      </c>
      <c r="H74" s="1" t="s">
        <v>373</v>
      </c>
      <c r="I74" s="17">
        <f t="shared" si="41"/>
        <v>11.27</v>
      </c>
      <c r="J74" s="17">
        <f t="shared" si="42"/>
        <v>0</v>
      </c>
      <c r="K74" s="2">
        <v>8.9700000000000006</v>
      </c>
      <c r="M74" s="2">
        <f>0.4+1</f>
        <v>1.4</v>
      </c>
      <c r="N74" s="2">
        <v>0.9</v>
      </c>
      <c r="W74" s="17">
        <f t="shared" si="43"/>
        <v>8.0800000000000018</v>
      </c>
      <c r="X74" s="6">
        <f>X70+W74</f>
        <v>32.91952380952381</v>
      </c>
      <c r="Y74" s="72"/>
      <c r="Z74" s="21">
        <f t="shared" si="44"/>
        <v>83.688118811881168</v>
      </c>
      <c r="AA74" s="21">
        <f t="shared" si="45"/>
        <v>81.033978967467547</v>
      </c>
      <c r="AB74" s="18">
        <f t="shared" si="46"/>
        <v>68.87888212234742</v>
      </c>
      <c r="AC74" s="18">
        <f t="shared" si="47"/>
        <v>76.982280019094162</v>
      </c>
      <c r="AD74" s="18">
        <f t="shared" si="48"/>
        <v>38.728851540616247</v>
      </c>
      <c r="AE74" s="18">
        <f t="shared" si="49"/>
        <v>34.652130325814539</v>
      </c>
    </row>
    <row r="75" spans="1:31" x14ac:dyDescent="0.25">
      <c r="A75" s="10" t="s">
        <v>319</v>
      </c>
      <c r="B75" s="10" t="s">
        <v>374</v>
      </c>
      <c r="C75" s="10" t="s">
        <v>372</v>
      </c>
      <c r="D75" s="10" t="s">
        <v>375</v>
      </c>
      <c r="E75" s="6">
        <v>4.5</v>
      </c>
      <c r="F75" s="6">
        <f>F74+E75</f>
        <v>48.959999999999994</v>
      </c>
      <c r="G75" s="1" t="s">
        <v>373</v>
      </c>
      <c r="H75" s="1" t="s">
        <v>376</v>
      </c>
      <c r="I75" s="17">
        <f t="shared" si="41"/>
        <v>4.5</v>
      </c>
      <c r="J75" s="17">
        <f t="shared" si="42"/>
        <v>0</v>
      </c>
      <c r="K75" s="2">
        <v>4.2</v>
      </c>
      <c r="M75" s="2">
        <v>0.3</v>
      </c>
      <c r="W75" s="17">
        <f t="shared" si="43"/>
        <v>3.0571428571428574</v>
      </c>
      <c r="X75" s="6">
        <f>X74+W75</f>
        <v>35.976666666666667</v>
      </c>
      <c r="Y75" s="72"/>
      <c r="Z75" s="21">
        <f t="shared" si="44"/>
        <v>88.317757009345783</v>
      </c>
      <c r="AA75" s="21">
        <f t="shared" si="45"/>
        <v>81.652923190957097</v>
      </c>
      <c r="AB75" s="18">
        <f t="shared" si="46"/>
        <v>69.404984712313535</v>
      </c>
      <c r="AC75" s="18">
        <f t="shared" si="47"/>
        <v>77.570277031409233</v>
      </c>
      <c r="AD75" s="18">
        <f t="shared" si="48"/>
        <v>42.325490196078427</v>
      </c>
      <c r="AE75" s="18">
        <f t="shared" si="49"/>
        <v>37.870175438596497</v>
      </c>
    </row>
    <row r="76" spans="1:31" x14ac:dyDescent="0.25">
      <c r="A76" s="10" t="s">
        <v>319</v>
      </c>
      <c r="B76" s="10" t="s">
        <v>377</v>
      </c>
      <c r="C76" s="10" t="s">
        <v>375</v>
      </c>
      <c r="D76" s="10" t="s">
        <v>378</v>
      </c>
      <c r="E76" s="6">
        <v>7.4099998474121094</v>
      </c>
      <c r="F76" s="6">
        <f t="shared" ref="F76:F83" si="50">F75+E76</f>
        <v>56.369999847412103</v>
      </c>
      <c r="G76" s="1" t="s">
        <v>376</v>
      </c>
      <c r="H76" s="1" t="s">
        <v>379</v>
      </c>
      <c r="I76" s="17">
        <f t="shared" si="41"/>
        <v>7.4099998474121094</v>
      </c>
      <c r="J76" s="17">
        <f t="shared" si="42"/>
        <v>-1.5258788987893013E-7</v>
      </c>
      <c r="K76" s="2">
        <v>6.31</v>
      </c>
      <c r="M76" s="2">
        <v>0.5</v>
      </c>
      <c r="N76" s="2">
        <v>0.6</v>
      </c>
      <c r="W76" s="17">
        <f t="shared" si="43"/>
        <v>5.2352380036853612</v>
      </c>
      <c r="X76" s="6">
        <f t="shared" ref="X76:X83" si="51">X75+W76</f>
        <v>41.211904670352027</v>
      </c>
      <c r="Y76" s="72"/>
      <c r="Z76" s="21">
        <f t="shared" si="44"/>
        <v>84.924504011422044</v>
      </c>
      <c r="AA76" s="21">
        <f t="shared" si="45"/>
        <v>82.068519227598131</v>
      </c>
      <c r="AB76" s="18">
        <f t="shared" si="46"/>
        <v>69.758241343458408</v>
      </c>
      <c r="AC76" s="18">
        <f t="shared" si="47"/>
        <v>77.965093266218219</v>
      </c>
      <c r="AD76" s="18">
        <f t="shared" si="48"/>
        <v>48.48459372982591</v>
      </c>
      <c r="AE76" s="18">
        <f t="shared" si="49"/>
        <v>43.380952284581085</v>
      </c>
    </row>
    <row r="77" spans="1:31" x14ac:dyDescent="0.25">
      <c r="A77" s="11" t="s">
        <v>319</v>
      </c>
      <c r="B77" s="11" t="s">
        <v>380</v>
      </c>
      <c r="C77" s="11" t="s">
        <v>378</v>
      </c>
      <c r="D77" s="11" t="s">
        <v>381</v>
      </c>
      <c r="E77" s="7">
        <v>14.27</v>
      </c>
      <c r="F77" s="7">
        <f t="shared" si="50"/>
        <v>70.639999847412099</v>
      </c>
      <c r="G77" s="3" t="s">
        <v>379</v>
      </c>
      <c r="H77" s="3" t="s">
        <v>382</v>
      </c>
      <c r="I77" s="22">
        <f t="shared" si="41"/>
        <v>14.27</v>
      </c>
      <c r="J77" s="22">
        <f t="shared" si="42"/>
        <v>0</v>
      </c>
      <c r="K77" s="23"/>
      <c r="L77" s="23"/>
      <c r="M77" s="23"/>
      <c r="N77" s="23"/>
      <c r="O77" s="23">
        <v>7.13</v>
      </c>
      <c r="P77" s="23">
        <v>7.14</v>
      </c>
      <c r="Q77" s="23"/>
      <c r="R77" s="23"/>
      <c r="S77" s="23"/>
      <c r="T77" s="23"/>
      <c r="U77" s="23"/>
      <c r="V77" s="23"/>
      <c r="W77" s="22">
        <f t="shared" si="43"/>
        <v>19.265999999999998</v>
      </c>
      <c r="X77" s="7">
        <f t="shared" si="51"/>
        <v>60.477904670352025</v>
      </c>
      <c r="Y77" s="73"/>
      <c r="Z77" s="24">
        <f t="shared" si="44"/>
        <v>44.440984117097479</v>
      </c>
      <c r="AA77" s="24">
        <f t="shared" si="45"/>
        <v>70.081792911759209</v>
      </c>
      <c r="AB77" s="25">
        <f t="shared" si="46"/>
        <v>59.569523974995327</v>
      </c>
      <c r="AC77" s="25">
        <f t="shared" si="47"/>
        <v>66.577703266171241</v>
      </c>
      <c r="AD77" s="25">
        <f t="shared" si="48"/>
        <v>71.150476082767085</v>
      </c>
      <c r="AE77" s="25">
        <f t="shared" si="49"/>
        <v>63.660952284581093</v>
      </c>
    </row>
    <row r="78" spans="1:31" x14ac:dyDescent="0.25">
      <c r="A78" s="10" t="s">
        <v>319</v>
      </c>
      <c r="B78" s="10" t="s">
        <v>383</v>
      </c>
      <c r="C78" s="10" t="s">
        <v>378</v>
      </c>
      <c r="D78" s="10" t="s">
        <v>384</v>
      </c>
      <c r="E78" s="6">
        <v>8.1199999999999992</v>
      </c>
      <c r="F78" s="6">
        <f>F76+E78</f>
        <v>64.489999847412108</v>
      </c>
      <c r="G78" s="1" t="s">
        <v>379</v>
      </c>
      <c r="H78" s="1" t="s">
        <v>385</v>
      </c>
      <c r="I78" s="17">
        <f t="shared" si="41"/>
        <v>8.1199999999999992</v>
      </c>
      <c r="J78" s="17">
        <f t="shared" si="42"/>
        <v>0</v>
      </c>
      <c r="K78" s="2">
        <v>4.67</v>
      </c>
      <c r="M78" s="2">
        <v>0.75</v>
      </c>
      <c r="N78" s="2">
        <v>0.7</v>
      </c>
      <c r="O78" s="2">
        <v>2</v>
      </c>
      <c r="W78" s="17">
        <f t="shared" si="43"/>
        <v>6.8561904761904762</v>
      </c>
      <c r="X78" s="6">
        <f>X76+W78</f>
        <v>48.068095146542504</v>
      </c>
      <c r="Y78" s="72"/>
      <c r="Z78" s="21">
        <f t="shared" si="44"/>
        <v>71.059869426309206</v>
      </c>
      <c r="AA78" s="21">
        <f t="shared" si="45"/>
        <v>80.498300984224642</v>
      </c>
      <c r="AB78" s="18">
        <f t="shared" si="46"/>
        <v>68.42355583659095</v>
      </c>
      <c r="AC78" s="18">
        <f t="shared" si="47"/>
        <v>76.473385935013411</v>
      </c>
      <c r="AD78" s="18">
        <f t="shared" si="48"/>
        <v>56.550700172402941</v>
      </c>
      <c r="AE78" s="18">
        <f t="shared" si="49"/>
        <v>50.597994891097372</v>
      </c>
    </row>
    <row r="79" spans="1:31" x14ac:dyDescent="0.25">
      <c r="A79" s="11" t="s">
        <v>319</v>
      </c>
      <c r="B79" s="11" t="s">
        <v>386</v>
      </c>
      <c r="C79" s="11" t="s">
        <v>384</v>
      </c>
      <c r="D79" s="11" t="s">
        <v>387</v>
      </c>
      <c r="E79" s="85">
        <v>9.69</v>
      </c>
      <c r="F79" s="7">
        <f t="shared" si="50"/>
        <v>74.179999847412105</v>
      </c>
      <c r="G79" s="3" t="s">
        <v>385</v>
      </c>
      <c r="H79" s="3" t="s">
        <v>388</v>
      </c>
      <c r="I79" s="22">
        <f t="shared" si="41"/>
        <v>9.69</v>
      </c>
      <c r="J79" s="22">
        <f t="shared" si="42"/>
        <v>0</v>
      </c>
      <c r="K79" s="23"/>
      <c r="L79" s="23"/>
      <c r="M79" s="23">
        <v>4.95</v>
      </c>
      <c r="N79" s="23">
        <v>4.74</v>
      </c>
      <c r="O79" s="23"/>
      <c r="P79" s="23"/>
      <c r="Q79" s="23"/>
      <c r="R79" s="23"/>
      <c r="S79" s="23"/>
      <c r="T79" s="23"/>
      <c r="U79" s="23"/>
      <c r="V79" s="23"/>
      <c r="W79" s="22">
        <f t="shared" si="43"/>
        <v>8.9828571428571422</v>
      </c>
      <c r="X79" s="7">
        <f t="shared" si="51"/>
        <v>57.050952289399646</v>
      </c>
      <c r="Y79" s="73"/>
      <c r="Z79" s="24">
        <f t="shared" si="44"/>
        <v>64.723282442748086</v>
      </c>
      <c r="AA79" s="24">
        <f t="shared" si="45"/>
        <v>78.014473242573843</v>
      </c>
      <c r="AB79" s="25">
        <f t="shared" si="46"/>
        <v>66.312302256187763</v>
      </c>
      <c r="AC79" s="25">
        <f t="shared" si="47"/>
        <v>74.113749580445145</v>
      </c>
      <c r="AD79" s="25">
        <f t="shared" si="48"/>
        <v>67.118767399293716</v>
      </c>
      <c r="AE79" s="25">
        <f t="shared" si="49"/>
        <v>60.053633988841746</v>
      </c>
    </row>
    <row r="80" spans="1:31" x14ac:dyDescent="0.25">
      <c r="A80" s="11" t="s">
        <v>319</v>
      </c>
      <c r="B80" s="11" t="s">
        <v>389</v>
      </c>
      <c r="C80" s="11" t="s">
        <v>387</v>
      </c>
      <c r="D80" s="11" t="s">
        <v>390</v>
      </c>
      <c r="E80" s="85">
        <v>1.3</v>
      </c>
      <c r="F80" s="7">
        <f t="shared" si="50"/>
        <v>75.479999847412103</v>
      </c>
      <c r="G80" s="3" t="s">
        <v>388</v>
      </c>
      <c r="H80" s="3" t="s">
        <v>391</v>
      </c>
      <c r="I80" s="22">
        <f t="shared" si="41"/>
        <v>1.3</v>
      </c>
      <c r="J80" s="22">
        <f t="shared" si="42"/>
        <v>0</v>
      </c>
      <c r="K80" s="23"/>
      <c r="L80" s="23"/>
      <c r="M80" s="23"/>
      <c r="N80" s="23">
        <v>1.3</v>
      </c>
      <c r="O80" s="23"/>
      <c r="P80" s="23"/>
      <c r="Q80" s="23"/>
      <c r="R80" s="23"/>
      <c r="S80" s="23"/>
      <c r="T80" s="23"/>
      <c r="U80" s="23"/>
      <c r="V80" s="23"/>
      <c r="W80" s="22">
        <f t="shared" si="43"/>
        <v>1.3</v>
      </c>
      <c r="X80" s="7">
        <f t="shared" si="51"/>
        <v>58.350952289399643</v>
      </c>
      <c r="Y80" s="73"/>
      <c r="Z80" s="24">
        <f t="shared" si="44"/>
        <v>60</v>
      </c>
      <c r="AA80" s="24">
        <f t="shared" si="45"/>
        <v>77.613129060576668</v>
      </c>
      <c r="AB80" s="25">
        <f t="shared" si="46"/>
        <v>65.971159701490166</v>
      </c>
      <c r="AC80" s="25">
        <f t="shared" si="47"/>
        <v>73.732472607547834</v>
      </c>
      <c r="AD80" s="25">
        <f t="shared" si="48"/>
        <v>68.648179163999586</v>
      </c>
      <c r="AE80" s="25">
        <f t="shared" si="49"/>
        <v>61.422055041473314</v>
      </c>
    </row>
    <row r="81" spans="1:31" x14ac:dyDescent="0.25">
      <c r="A81" s="11" t="s">
        <v>319</v>
      </c>
      <c r="B81" s="11" t="s">
        <v>392</v>
      </c>
      <c r="C81" s="13" t="s">
        <v>390</v>
      </c>
      <c r="D81" s="11" t="s">
        <v>393</v>
      </c>
      <c r="E81" s="85">
        <v>10.4</v>
      </c>
      <c r="F81" s="7">
        <f t="shared" si="50"/>
        <v>85.879999847412108</v>
      </c>
      <c r="G81" s="3" t="s">
        <v>391</v>
      </c>
      <c r="H81" s="3" t="s">
        <v>394</v>
      </c>
      <c r="I81" s="22">
        <f t="shared" si="41"/>
        <v>10.4</v>
      </c>
      <c r="J81" s="22">
        <f t="shared" si="42"/>
        <v>0</v>
      </c>
      <c r="K81" s="23"/>
      <c r="L81" s="23"/>
      <c r="M81" s="23"/>
      <c r="N81" s="23">
        <v>5.2</v>
      </c>
      <c r="O81" s="23">
        <v>5.2</v>
      </c>
      <c r="P81" s="23"/>
      <c r="Q81" s="23"/>
      <c r="R81" s="23"/>
      <c r="S81" s="23"/>
      <c r="T81" s="23"/>
      <c r="U81" s="23"/>
      <c r="V81" s="23"/>
      <c r="W81" s="22">
        <f t="shared" si="43"/>
        <v>11.440000000000001</v>
      </c>
      <c r="X81" s="7">
        <f t="shared" si="51"/>
        <v>69.790952289399641</v>
      </c>
      <c r="Y81" s="73"/>
      <c r="Z81" s="24">
        <f t="shared" si="44"/>
        <v>54.545454545454547</v>
      </c>
      <c r="AA81" s="24">
        <f t="shared" si="45"/>
        <v>73.83191978062996</v>
      </c>
      <c r="AB81" s="25">
        <f t="shared" si="46"/>
        <v>62.757131813535466</v>
      </c>
      <c r="AC81" s="25">
        <f t="shared" si="47"/>
        <v>70.140323791598462</v>
      </c>
      <c r="AD81" s="25">
        <f t="shared" si="48"/>
        <v>82.107002693411332</v>
      </c>
      <c r="AE81" s="25">
        <f t="shared" si="49"/>
        <v>73.464160304631193</v>
      </c>
    </row>
    <row r="82" spans="1:31" x14ac:dyDescent="0.25">
      <c r="A82" s="10" t="s">
        <v>319</v>
      </c>
      <c r="B82" s="10" t="s">
        <v>395</v>
      </c>
      <c r="C82" s="10" t="s">
        <v>384</v>
      </c>
      <c r="D82" s="10" t="s">
        <v>396</v>
      </c>
      <c r="E82" s="6">
        <v>6.3499999046325684</v>
      </c>
      <c r="F82" s="6">
        <f>F78+E82</f>
        <v>70.839999752044676</v>
      </c>
      <c r="G82" s="1" t="s">
        <v>385</v>
      </c>
      <c r="H82" s="1" t="s">
        <v>397</v>
      </c>
      <c r="I82" s="17">
        <f t="shared" si="41"/>
        <v>6.3499999046325684</v>
      </c>
      <c r="J82" s="17">
        <f t="shared" si="42"/>
        <v>-9.5367431285353632E-8</v>
      </c>
      <c r="K82" s="2">
        <v>4.05</v>
      </c>
      <c r="M82" s="2">
        <f>0.9+0.3</f>
        <v>1.2</v>
      </c>
      <c r="N82" s="2">
        <v>1.1000000000000001</v>
      </c>
      <c r="W82" s="17">
        <f t="shared" si="43"/>
        <v>4.8285713713509706</v>
      </c>
      <c r="X82" s="6">
        <f>X78+W82</f>
        <v>52.896666517893472</v>
      </c>
      <c r="Y82" s="72"/>
      <c r="Z82" s="21">
        <f t="shared" si="44"/>
        <v>78.905325193806817</v>
      </c>
      <c r="AA82" s="21">
        <f t="shared" si="45"/>
        <v>80.352889225730095</v>
      </c>
      <c r="AB82" s="18">
        <f t="shared" si="46"/>
        <v>68.299955841870585</v>
      </c>
      <c r="AC82" s="18">
        <f t="shared" si="47"/>
        <v>76.335244764443587</v>
      </c>
      <c r="AD82" s="18">
        <f t="shared" si="48"/>
        <v>62.231372373992322</v>
      </c>
      <c r="AE82" s="18">
        <f t="shared" si="49"/>
        <v>55.680701597782608</v>
      </c>
    </row>
    <row r="83" spans="1:31" x14ac:dyDescent="0.25">
      <c r="A83" s="11" t="s">
        <v>319</v>
      </c>
      <c r="B83" s="11" t="s">
        <v>398</v>
      </c>
      <c r="C83" s="13" t="s">
        <v>396</v>
      </c>
      <c r="D83" s="11" t="s">
        <v>451</v>
      </c>
      <c r="E83" s="7">
        <v>0.83</v>
      </c>
      <c r="F83" s="7">
        <f t="shared" si="50"/>
        <v>71.669999752044674</v>
      </c>
      <c r="G83" s="3" t="s">
        <v>397</v>
      </c>
      <c r="H83" s="3" t="s">
        <v>400</v>
      </c>
      <c r="I83" s="22">
        <f t="shared" si="41"/>
        <v>0.83</v>
      </c>
      <c r="J83" s="22">
        <f t="shared" si="42"/>
        <v>0</v>
      </c>
      <c r="K83" s="23"/>
      <c r="L83" s="23"/>
      <c r="M83" s="23"/>
      <c r="N83" s="23"/>
      <c r="O83" s="23">
        <v>0.83</v>
      </c>
      <c r="P83" s="23"/>
      <c r="Q83" s="23"/>
      <c r="R83" s="23"/>
      <c r="S83" s="23"/>
      <c r="T83" s="23"/>
      <c r="U83" s="23"/>
      <c r="V83" s="23"/>
      <c r="W83" s="22">
        <f t="shared" si="43"/>
        <v>0.996</v>
      </c>
      <c r="X83" s="7">
        <f t="shared" si="51"/>
        <v>53.892666517893474</v>
      </c>
      <c r="Y83" s="73"/>
      <c r="Z83" s="24">
        <f t="shared" si="44"/>
        <v>49.999999999999993</v>
      </c>
      <c r="AA83" s="24">
        <f t="shared" si="45"/>
        <v>79.791932056190348</v>
      </c>
      <c r="AB83" s="25">
        <f t="shared" si="46"/>
        <v>67.823142247761794</v>
      </c>
      <c r="AC83" s="25">
        <f t="shared" si="47"/>
        <v>75.80233545338082</v>
      </c>
      <c r="AD83" s="25">
        <f t="shared" si="48"/>
        <v>63.403137079874668</v>
      </c>
      <c r="AE83" s="25">
        <f t="shared" si="49"/>
        <v>56.72912265041419</v>
      </c>
    </row>
    <row r="84" spans="1:31" x14ac:dyDescent="0.25">
      <c r="A84" s="10" t="s">
        <v>319</v>
      </c>
      <c r="B84" s="10" t="s">
        <v>401</v>
      </c>
      <c r="C84" s="10" t="s">
        <v>396</v>
      </c>
      <c r="D84" s="10" t="s">
        <v>402</v>
      </c>
      <c r="E84" s="6">
        <v>0.83</v>
      </c>
      <c r="F84" s="6">
        <f>F82+E84</f>
        <v>71.669999752044674</v>
      </c>
      <c r="G84" s="1" t="s">
        <v>397</v>
      </c>
      <c r="H84" s="1" t="s">
        <v>403</v>
      </c>
      <c r="I84" s="17">
        <f t="shared" si="41"/>
        <v>0.83</v>
      </c>
      <c r="J84" s="17">
        <f t="shared" si="42"/>
        <v>0</v>
      </c>
      <c r="K84" s="2">
        <v>0.33</v>
      </c>
      <c r="M84" s="2">
        <v>0.5</v>
      </c>
      <c r="W84" s="17">
        <f t="shared" si="43"/>
        <v>0.64857142857142858</v>
      </c>
      <c r="X84" s="6">
        <f>X82+W84</f>
        <v>53.545237946464901</v>
      </c>
      <c r="Y84" s="72"/>
      <c r="Z84" s="21">
        <f t="shared" si="44"/>
        <v>76.784140969162991</v>
      </c>
      <c r="AA84" s="21">
        <f t="shared" si="45"/>
        <v>80.309662446958711</v>
      </c>
      <c r="AB84" s="18">
        <f t="shared" si="46"/>
        <v>68.263213079914905</v>
      </c>
      <c r="AC84" s="18">
        <f t="shared" si="47"/>
        <v>76.294179324610766</v>
      </c>
      <c r="AD84" s="18">
        <f t="shared" si="48"/>
        <v>62.994397584076346</v>
      </c>
      <c r="AE84" s="18">
        <f t="shared" si="49"/>
        <v>56.363408364699893</v>
      </c>
    </row>
    <row r="85" spans="1:31" x14ac:dyDescent="0.25">
      <c r="A85" s="10" t="s">
        <v>319</v>
      </c>
      <c r="B85" s="10" t="s">
        <v>404</v>
      </c>
      <c r="C85" s="10" t="s">
        <v>402</v>
      </c>
      <c r="D85" s="10" t="s">
        <v>405</v>
      </c>
      <c r="E85" s="6">
        <v>1.1399999999999999</v>
      </c>
      <c r="F85" s="6">
        <f>F84+E85</f>
        <v>72.809999752044675</v>
      </c>
      <c r="G85" s="1" t="s">
        <v>403</v>
      </c>
      <c r="H85" s="1" t="s">
        <v>406</v>
      </c>
      <c r="I85" s="17">
        <f t="shared" si="41"/>
        <v>1.1399999999999999</v>
      </c>
      <c r="J85" s="17">
        <f t="shared" ref="J85:J95" si="52">I85-SUM(K85:V85)</f>
        <v>0</v>
      </c>
      <c r="N85" s="2">
        <v>1.1399999999999999</v>
      </c>
      <c r="W85" s="17">
        <f t="shared" si="43"/>
        <v>1.1399999999999999</v>
      </c>
      <c r="X85" s="6">
        <f>X84+W85</f>
        <v>54.685237946464902</v>
      </c>
      <c r="Y85" s="72"/>
      <c r="Z85" s="21">
        <f t="shared" ref="Z85:Z94" si="53">I85/W85*60</f>
        <v>60</v>
      </c>
      <c r="AA85" s="21">
        <f t="shared" ref="AA85:AA94" si="54">F85/X85*60</f>
        <v>79.886275513684325</v>
      </c>
      <c r="AB85" s="18">
        <f t="shared" ref="AB85:AB94" si="55">AA85*0.85</f>
        <v>67.903334186631668</v>
      </c>
      <c r="AC85" s="18">
        <f t="shared" si="47"/>
        <v>75.891961738000106</v>
      </c>
      <c r="AD85" s="18">
        <f t="shared" si="48"/>
        <v>64.335574054664619</v>
      </c>
      <c r="AE85" s="18">
        <f t="shared" si="49"/>
        <v>57.563408364699903</v>
      </c>
    </row>
    <row r="86" spans="1:31" x14ac:dyDescent="0.25">
      <c r="A86" s="11" t="s">
        <v>319</v>
      </c>
      <c r="B86" s="11" t="s">
        <v>407</v>
      </c>
      <c r="C86" s="11" t="s">
        <v>405</v>
      </c>
      <c r="D86" s="11" t="s">
        <v>408</v>
      </c>
      <c r="E86" s="7">
        <v>2.82</v>
      </c>
      <c r="F86" s="7">
        <f>F85+E86</f>
        <v>75.629999752044668</v>
      </c>
      <c r="G86" s="3" t="s">
        <v>406</v>
      </c>
      <c r="H86" s="3" t="s">
        <v>409</v>
      </c>
      <c r="I86" s="22">
        <f t="shared" si="41"/>
        <v>2.82</v>
      </c>
      <c r="J86" s="22">
        <f t="shared" si="52"/>
        <v>0</v>
      </c>
      <c r="K86" s="23"/>
      <c r="L86" s="23"/>
      <c r="M86" s="23"/>
      <c r="N86" s="23"/>
      <c r="O86" s="23">
        <v>2.82</v>
      </c>
      <c r="P86" s="23"/>
      <c r="Q86" s="23"/>
      <c r="R86" s="23"/>
      <c r="S86" s="23"/>
      <c r="T86" s="23"/>
      <c r="U86" s="23"/>
      <c r="V86" s="23"/>
      <c r="W86" s="22">
        <f t="shared" si="43"/>
        <v>3.3839999999999999</v>
      </c>
      <c r="X86" s="7">
        <f>X53+W86</f>
        <v>59.529952461061029</v>
      </c>
      <c r="Y86" s="73"/>
      <c r="Z86" s="24">
        <f t="shared" si="53"/>
        <v>49.999999999999993</v>
      </c>
      <c r="AA86" s="24">
        <f t="shared" si="54"/>
        <v>76.227173003218638</v>
      </c>
      <c r="AB86" s="25">
        <f t="shared" si="55"/>
        <v>64.793097052735845</v>
      </c>
      <c r="AC86" s="25">
        <f t="shared" si="47"/>
        <v>72.415814353057698</v>
      </c>
      <c r="AD86" s="25">
        <f t="shared" si="48"/>
        <v>70.03523818948355</v>
      </c>
      <c r="AE86" s="25">
        <f t="shared" si="49"/>
        <v>62.663107853748457</v>
      </c>
    </row>
    <row r="87" spans="1:31" x14ac:dyDescent="0.25">
      <c r="A87" s="10" t="s">
        <v>319</v>
      </c>
      <c r="B87" s="10" t="s">
        <v>410</v>
      </c>
      <c r="C87" s="10" t="s">
        <v>405</v>
      </c>
      <c r="D87" s="10" t="s">
        <v>411</v>
      </c>
      <c r="E87" s="6">
        <v>4.88</v>
      </c>
      <c r="F87" s="6">
        <f>F85+E87</f>
        <v>77.68999975204467</v>
      </c>
      <c r="G87" s="1" t="s">
        <v>406</v>
      </c>
      <c r="H87" s="1" t="s">
        <v>412</v>
      </c>
      <c r="I87" s="17">
        <f t="shared" si="41"/>
        <v>4.88</v>
      </c>
      <c r="J87" s="17">
        <f t="shared" si="52"/>
        <v>0</v>
      </c>
      <c r="K87" s="2">
        <v>3.38</v>
      </c>
      <c r="M87" s="2">
        <f>0.7+0.5</f>
        <v>1.2</v>
      </c>
      <c r="N87" s="2">
        <v>0.3</v>
      </c>
      <c r="W87" s="17">
        <f t="shared" si="43"/>
        <v>3.5819047619047621</v>
      </c>
      <c r="X87" s="6">
        <f>X85+W87</f>
        <v>58.267142708369661</v>
      </c>
      <c r="Y87" s="72"/>
      <c r="Z87" s="21">
        <f t="shared" si="53"/>
        <v>81.744216963573507</v>
      </c>
      <c r="AA87" s="21">
        <f t="shared" si="54"/>
        <v>80.000490301253492</v>
      </c>
      <c r="AB87" s="18">
        <f t="shared" si="55"/>
        <v>68.000416756065462</v>
      </c>
      <c r="AC87" s="18">
        <f t="shared" si="47"/>
        <v>76.000465786190816</v>
      </c>
      <c r="AD87" s="18">
        <f t="shared" si="48"/>
        <v>68.549579656905479</v>
      </c>
      <c r="AE87" s="18">
        <f t="shared" si="49"/>
        <v>61.333834429862797</v>
      </c>
    </row>
    <row r="88" spans="1:31" x14ac:dyDescent="0.25">
      <c r="A88" s="10" t="s">
        <v>319</v>
      </c>
      <c r="B88" s="10" t="s">
        <v>413</v>
      </c>
      <c r="C88" s="10" t="s">
        <v>411</v>
      </c>
      <c r="D88" s="10" t="s">
        <v>414</v>
      </c>
      <c r="E88" s="6">
        <v>2.65</v>
      </c>
      <c r="F88" s="6">
        <f t="shared" ref="F88:F95" si="56">F87+E88</f>
        <v>80.339999752044676</v>
      </c>
      <c r="G88" s="1" t="s">
        <v>412</v>
      </c>
      <c r="H88" s="1" t="s">
        <v>415</v>
      </c>
      <c r="I88" s="17">
        <f t="shared" si="41"/>
        <v>2.65</v>
      </c>
      <c r="J88" s="17">
        <f t="shared" si="52"/>
        <v>0</v>
      </c>
      <c r="K88" s="2">
        <v>2.65</v>
      </c>
      <c r="W88" s="17">
        <f t="shared" si="43"/>
        <v>1.7666666666666666</v>
      </c>
      <c r="X88" s="6">
        <f t="shared" ref="X88:X94" si="57">X87+W88</f>
        <v>60.033809375036327</v>
      </c>
      <c r="Y88" s="72"/>
      <c r="Z88" s="21">
        <f t="shared" si="53"/>
        <v>90</v>
      </c>
      <c r="AA88" s="21">
        <f t="shared" si="54"/>
        <v>80.294754494242241</v>
      </c>
      <c r="AB88" s="18">
        <f t="shared" si="55"/>
        <v>68.25054132010591</v>
      </c>
      <c r="AC88" s="18">
        <f t="shared" si="47"/>
        <v>76.280016769530121</v>
      </c>
      <c r="AD88" s="18">
        <f t="shared" si="48"/>
        <v>70.628011029454498</v>
      </c>
      <c r="AE88" s="18">
        <f t="shared" si="49"/>
        <v>63.193483552669825</v>
      </c>
    </row>
    <row r="89" spans="1:31" x14ac:dyDescent="0.25">
      <c r="A89" s="10" t="s">
        <v>319</v>
      </c>
      <c r="B89" s="10" t="s">
        <v>416</v>
      </c>
      <c r="C89" s="10" t="s">
        <v>414</v>
      </c>
      <c r="D89" s="10" t="s">
        <v>417</v>
      </c>
      <c r="E89" s="6">
        <v>4.8499999999999996</v>
      </c>
      <c r="F89" s="6">
        <f t="shared" si="56"/>
        <v>85.18999975204467</v>
      </c>
      <c r="G89" s="1" t="s">
        <v>415</v>
      </c>
      <c r="H89" s="1" t="s">
        <v>418</v>
      </c>
      <c r="I89" s="17">
        <f t="shared" si="41"/>
        <v>4.8499999999999996</v>
      </c>
      <c r="J89" s="17">
        <f t="shared" si="52"/>
        <v>0</v>
      </c>
      <c r="O89" s="2">
        <v>4.8499999999999996</v>
      </c>
      <c r="W89" s="17">
        <f t="shared" si="43"/>
        <v>5.8199999999999994</v>
      </c>
      <c r="X89" s="6">
        <f t="shared" si="57"/>
        <v>65.85380937503632</v>
      </c>
      <c r="Y89" s="72"/>
      <c r="Z89" s="21">
        <f t="shared" si="53"/>
        <v>50</v>
      </c>
      <c r="AA89" s="21">
        <f t="shared" si="54"/>
        <v>77.617377546275947</v>
      </c>
      <c r="AB89" s="18">
        <f t="shared" si="55"/>
        <v>65.974770914334556</v>
      </c>
      <c r="AC89" s="18">
        <f t="shared" si="47"/>
        <v>73.736508668962145</v>
      </c>
      <c r="AD89" s="18">
        <f t="shared" si="48"/>
        <v>77.475069852983907</v>
      </c>
      <c r="AE89" s="18">
        <f t="shared" si="49"/>
        <v>69.319799342143497</v>
      </c>
    </row>
    <row r="90" spans="1:31" x14ac:dyDescent="0.25">
      <c r="A90" s="10" t="s">
        <v>319</v>
      </c>
      <c r="B90" s="10"/>
      <c r="C90" s="10" t="s">
        <v>417</v>
      </c>
      <c r="D90" s="10" t="s">
        <v>399</v>
      </c>
      <c r="E90" s="6">
        <v>7.95</v>
      </c>
      <c r="F90" s="6">
        <f t="shared" ref="F90" si="58">F89+E90</f>
        <v>93.139999752044673</v>
      </c>
      <c r="G90" s="1" t="s">
        <v>418</v>
      </c>
      <c r="H90" s="1" t="s">
        <v>450</v>
      </c>
      <c r="I90" s="17">
        <f t="shared" ref="I90" si="59">E90</f>
        <v>7.95</v>
      </c>
      <c r="J90" s="17">
        <f t="shared" ref="J90" si="60">I90-SUM(K90:V90)</f>
        <v>0</v>
      </c>
      <c r="O90" s="2">
        <v>3.98</v>
      </c>
      <c r="Q90" s="2">
        <v>3.97</v>
      </c>
      <c r="W90" s="17">
        <f t="shared" ref="W90" si="61">(J90/J$1+K90/K$1+L90/L$1+M90/M$1+N90/N$1+O90/O$1+P90/P$1+Q90/Q$1+R90/R$1+S90/S$1+T90/T$1+U90/U$1+V90/V$1)*60</f>
        <v>12.715999999999999</v>
      </c>
      <c r="X90" s="6">
        <f t="shared" ref="X90" si="62">X89+W90</f>
        <v>78.569809375036314</v>
      </c>
      <c r="Y90" s="72"/>
      <c r="Z90" s="21">
        <f t="shared" ref="Z90" si="63">I90/W90*60</f>
        <v>37.511796162315193</v>
      </c>
      <c r="AA90" s="21">
        <f t="shared" ref="AA90" si="64">F90/X90*60</f>
        <v>71.126556492553505</v>
      </c>
      <c r="AB90" s="18">
        <f t="shared" ref="AB90" si="65">AA90*0.85</f>
        <v>60.45757301867048</v>
      </c>
      <c r="AC90" s="18">
        <f t="shared" ref="AC90" si="66">AA90*0.95</f>
        <v>67.570228667925832</v>
      </c>
      <c r="AD90" s="18">
        <f t="shared" ref="AD90" si="67">$F90/AB90*60</f>
        <v>92.435069852983901</v>
      </c>
      <c r="AE90" s="18">
        <f t="shared" ref="AE90" si="68">$F90/AC90*60</f>
        <v>82.705062500038224</v>
      </c>
    </row>
    <row r="91" spans="1:31" x14ac:dyDescent="0.25">
      <c r="A91" s="86" t="s">
        <v>319</v>
      </c>
      <c r="B91" s="86" t="s">
        <v>419</v>
      </c>
      <c r="C91" s="86" t="s">
        <v>417</v>
      </c>
      <c r="D91" s="86" t="s">
        <v>420</v>
      </c>
      <c r="E91" s="87">
        <v>3.4500000476837158</v>
      </c>
      <c r="F91" s="87">
        <f>F89+E91</f>
        <v>88.639999799728386</v>
      </c>
      <c r="G91" s="88" t="s">
        <v>418</v>
      </c>
      <c r="H91" s="88" t="s">
        <v>421</v>
      </c>
      <c r="I91" s="89">
        <f t="shared" si="41"/>
        <v>3.4500000476837158</v>
      </c>
      <c r="J91" s="89">
        <f t="shared" si="52"/>
        <v>4.7683715642676816E-8</v>
      </c>
      <c r="K91" s="90"/>
      <c r="L91" s="90"/>
      <c r="M91" s="90"/>
      <c r="N91" s="90"/>
      <c r="O91" s="90">
        <v>3.45</v>
      </c>
      <c r="P91" s="90"/>
      <c r="Q91" s="90"/>
      <c r="R91" s="90"/>
      <c r="S91" s="90"/>
      <c r="T91" s="90"/>
      <c r="U91" s="90"/>
      <c r="V91" s="90"/>
      <c r="W91" s="89">
        <f t="shared" si="43"/>
        <v>4.1400000286102294</v>
      </c>
      <c r="X91" s="87">
        <f>X89+W91</f>
        <v>69.993809403646551</v>
      </c>
      <c r="Y91" s="91"/>
      <c r="Z91" s="92">
        <f t="shared" si="53"/>
        <v>50.000000345534168</v>
      </c>
      <c r="AA91" s="92">
        <f t="shared" si="54"/>
        <v>75.983862477223937</v>
      </c>
      <c r="AB91" s="93">
        <f t="shared" si="55"/>
        <v>64.586283105640348</v>
      </c>
      <c r="AC91" s="93">
        <f t="shared" si="47"/>
        <v>72.184669353362736</v>
      </c>
      <c r="AD91" s="93">
        <f t="shared" si="48"/>
        <v>82.34565812193712</v>
      </c>
      <c r="AE91" s="93">
        <f t="shared" si="49"/>
        <v>73.677694109101637</v>
      </c>
    </row>
    <row r="92" spans="1:31" x14ac:dyDescent="0.25">
      <c r="A92" s="86" t="s">
        <v>319</v>
      </c>
      <c r="B92" s="86" t="s">
        <v>422</v>
      </c>
      <c r="C92" s="86" t="s">
        <v>420</v>
      </c>
      <c r="D92" s="86" t="s">
        <v>423</v>
      </c>
      <c r="E92" s="87">
        <v>6.48</v>
      </c>
      <c r="F92" s="87">
        <f t="shared" si="56"/>
        <v>95.11999979972839</v>
      </c>
      <c r="G92" s="88" t="s">
        <v>421</v>
      </c>
      <c r="H92" s="88" t="s">
        <v>424</v>
      </c>
      <c r="I92" s="89">
        <f t="shared" si="41"/>
        <v>6.48</v>
      </c>
      <c r="J92" s="89">
        <f t="shared" si="52"/>
        <v>0</v>
      </c>
      <c r="K92" s="90"/>
      <c r="L92" s="90"/>
      <c r="M92" s="90"/>
      <c r="N92" s="90"/>
      <c r="O92" s="90">
        <v>6.48</v>
      </c>
      <c r="P92" s="90"/>
      <c r="Q92" s="90"/>
      <c r="R92" s="90"/>
      <c r="S92" s="90"/>
      <c r="T92" s="90"/>
      <c r="U92" s="90"/>
      <c r="V92" s="90"/>
      <c r="W92" s="89">
        <f t="shared" si="43"/>
        <v>7.7760000000000016</v>
      </c>
      <c r="X92" s="87">
        <f t="shared" si="57"/>
        <v>77.769809403646548</v>
      </c>
      <c r="Y92" s="91"/>
      <c r="Z92" s="92">
        <f t="shared" si="53"/>
        <v>49.999999999999993</v>
      </c>
      <c r="AA92" s="92">
        <f t="shared" si="54"/>
        <v>73.385803973901702</v>
      </c>
      <c r="AB92" s="93">
        <f t="shared" si="55"/>
        <v>62.377933377816447</v>
      </c>
      <c r="AC92" s="93">
        <f t="shared" si="47"/>
        <v>69.716513775206607</v>
      </c>
      <c r="AD92" s="93">
        <f t="shared" si="48"/>
        <v>91.49389341605476</v>
      </c>
      <c r="AE92" s="93">
        <f t="shared" si="49"/>
        <v>81.862957266996375</v>
      </c>
    </row>
    <row r="93" spans="1:31" x14ac:dyDescent="0.25">
      <c r="A93" s="86" t="s">
        <v>319</v>
      </c>
      <c r="B93" s="86" t="s">
        <v>425</v>
      </c>
      <c r="C93" s="86" t="s">
        <v>423</v>
      </c>
      <c r="D93" s="86" t="s">
        <v>426</v>
      </c>
      <c r="E93" s="87">
        <v>8.9600000000000009</v>
      </c>
      <c r="F93" s="87">
        <f t="shared" si="56"/>
        <v>104.0799997997284</v>
      </c>
      <c r="G93" s="88" t="s">
        <v>424</v>
      </c>
      <c r="H93" s="88" t="s">
        <v>427</v>
      </c>
      <c r="I93" s="89">
        <f t="shared" si="41"/>
        <v>8.9600000000000009</v>
      </c>
      <c r="J93" s="89">
        <f t="shared" si="52"/>
        <v>0</v>
      </c>
      <c r="K93" s="90"/>
      <c r="L93" s="90"/>
      <c r="M93" s="90"/>
      <c r="N93" s="90"/>
      <c r="O93" s="90">
        <v>8.9600000000000009</v>
      </c>
      <c r="P93" s="90"/>
      <c r="Q93" s="90"/>
      <c r="R93" s="90"/>
      <c r="S93" s="90"/>
      <c r="T93" s="90"/>
      <c r="U93" s="90"/>
      <c r="V93" s="90"/>
      <c r="W93" s="89">
        <f t="shared" si="43"/>
        <v>10.752000000000002</v>
      </c>
      <c r="X93" s="87">
        <f t="shared" si="57"/>
        <v>88.521809403646557</v>
      </c>
      <c r="Y93" s="91"/>
      <c r="Z93" s="92">
        <f t="shared" si="53"/>
        <v>49.999999999999993</v>
      </c>
      <c r="AA93" s="92">
        <f t="shared" si="54"/>
        <v>70.54532696579129</v>
      </c>
      <c r="AB93" s="93">
        <f t="shared" si="55"/>
        <v>59.963527920922594</v>
      </c>
      <c r="AC93" s="93">
        <f t="shared" si="47"/>
        <v>67.018060617501718</v>
      </c>
      <c r="AD93" s="93">
        <f t="shared" si="48"/>
        <v>104.14330518076065</v>
      </c>
      <c r="AE93" s="93">
        <f t="shared" si="49"/>
        <v>93.180852003838496</v>
      </c>
    </row>
    <row r="94" spans="1:31" x14ac:dyDescent="0.25">
      <c r="A94" s="86" t="s">
        <v>319</v>
      </c>
      <c r="B94" s="86" t="s">
        <v>428</v>
      </c>
      <c r="C94" s="86" t="s">
        <v>426</v>
      </c>
      <c r="D94" s="86" t="s">
        <v>429</v>
      </c>
      <c r="E94" s="87">
        <v>12.12</v>
      </c>
      <c r="F94" s="87">
        <f t="shared" si="56"/>
        <v>116.1999997997284</v>
      </c>
      <c r="G94" s="88" t="s">
        <v>427</v>
      </c>
      <c r="H94" s="88" t="s">
        <v>430</v>
      </c>
      <c r="I94" s="89">
        <f t="shared" si="41"/>
        <v>12.12</v>
      </c>
      <c r="J94" s="89">
        <f t="shared" si="52"/>
        <v>0</v>
      </c>
      <c r="K94" s="90"/>
      <c r="L94" s="90"/>
      <c r="M94" s="90"/>
      <c r="N94" s="90"/>
      <c r="O94" s="90">
        <v>1.62</v>
      </c>
      <c r="P94" s="90">
        <v>4.25</v>
      </c>
      <c r="Q94" s="90">
        <f>1+4.25</f>
        <v>5.25</v>
      </c>
      <c r="R94" s="89">
        <v>1</v>
      </c>
      <c r="S94" s="90"/>
      <c r="T94" s="90"/>
      <c r="U94" s="90"/>
      <c r="V94" s="90"/>
      <c r="W94" s="89">
        <f t="shared" si="43"/>
        <v>21.218999999999998</v>
      </c>
      <c r="X94" s="87">
        <f t="shared" si="57"/>
        <v>109.74080940364655</v>
      </c>
      <c r="Y94" s="91"/>
      <c r="Z94" s="92">
        <f t="shared" si="53"/>
        <v>34.271172062773928</v>
      </c>
      <c r="AA94" s="92">
        <f t="shared" si="54"/>
        <v>63.531515995470997</v>
      </c>
      <c r="AB94" s="93">
        <f t="shared" si="55"/>
        <v>54.001788596150348</v>
      </c>
      <c r="AC94" s="93">
        <f t="shared" si="47"/>
        <v>60.354940195697445</v>
      </c>
      <c r="AD94" s="93">
        <f t="shared" si="48"/>
        <v>129.10683459252536</v>
      </c>
      <c r="AE94" s="93">
        <f t="shared" si="49"/>
        <v>115.51664147752267</v>
      </c>
    </row>
    <row r="95" spans="1:31" x14ac:dyDescent="0.25">
      <c r="A95" s="86" t="s">
        <v>319</v>
      </c>
      <c r="B95" s="94"/>
      <c r="C95" s="86" t="s">
        <v>429</v>
      </c>
      <c r="D95" s="94"/>
      <c r="E95" s="95">
        <v>3</v>
      </c>
      <c r="F95" s="87">
        <f t="shared" si="56"/>
        <v>119.1999997997284</v>
      </c>
      <c r="G95" s="88" t="s">
        <v>430</v>
      </c>
      <c r="H95" s="88" t="s">
        <v>431</v>
      </c>
      <c r="I95" s="89">
        <f t="shared" si="41"/>
        <v>3</v>
      </c>
      <c r="J95" s="89">
        <f t="shared" si="52"/>
        <v>0</v>
      </c>
      <c r="K95" s="90"/>
      <c r="L95" s="90"/>
      <c r="M95" s="90"/>
      <c r="N95" s="90"/>
      <c r="O95" s="90"/>
      <c r="P95" s="90"/>
      <c r="Q95" s="90"/>
      <c r="R95" s="89">
        <v>3</v>
      </c>
      <c r="S95" s="90"/>
      <c r="T95" s="90"/>
      <c r="U95" s="90"/>
      <c r="V95" s="90"/>
      <c r="W95" s="89">
        <f t="shared" si="43"/>
        <v>7.1999999999999993</v>
      </c>
      <c r="X95" s="87">
        <f>X94+W95</f>
        <v>116.94080940364655</v>
      </c>
      <c r="Y95" s="91"/>
      <c r="Z95" s="92">
        <f>I95/W95*60</f>
        <v>25</v>
      </c>
      <c r="AA95" s="92">
        <f>F95/X95*60</f>
        <v>61.159145592168983</v>
      </c>
      <c r="AB95" s="93">
        <f>AA95*0.85</f>
        <v>51.985273753343634</v>
      </c>
      <c r="AC95" s="93">
        <f t="shared" si="47"/>
        <v>58.101188312560531</v>
      </c>
      <c r="AD95" s="93">
        <f>$F95/AB95*60</f>
        <v>137.5774228278195</v>
      </c>
      <c r="AE95" s="93">
        <f t="shared" si="49"/>
        <v>123.09558884594377</v>
      </c>
    </row>
    <row r="96" spans="1:31" x14ac:dyDescent="0.25">
      <c r="A96" s="8" t="s">
        <v>319</v>
      </c>
      <c r="C96" s="8" t="s">
        <v>414</v>
      </c>
      <c r="D96" s="8" t="s">
        <v>446</v>
      </c>
      <c r="E96" s="5">
        <v>6.59</v>
      </c>
      <c r="F96" s="5">
        <f>F88+E96</f>
        <v>86.929999752044679</v>
      </c>
      <c r="G96" s="1" t="s">
        <v>415</v>
      </c>
      <c r="H96" s="2" t="s">
        <v>448</v>
      </c>
      <c r="I96" s="2">
        <f t="shared" ref="I96:I97" si="69">E96</f>
        <v>6.59</v>
      </c>
      <c r="J96" s="2">
        <f t="shared" ref="J96:J97" si="70">I96-SUM(K96:V96)</f>
        <v>0</v>
      </c>
      <c r="K96" s="2">
        <v>6.59</v>
      </c>
      <c r="O96" s="27"/>
      <c r="P96" s="27"/>
      <c r="Q96" s="27"/>
      <c r="R96" s="27"/>
      <c r="S96" s="27"/>
      <c r="T96" s="27"/>
      <c r="U96" s="27"/>
      <c r="V96" s="27"/>
      <c r="W96" s="28">
        <f t="shared" ref="W96:W97" si="71">(J96/J$1+K96/K$1+L96/L$1+M96/M$1+N96/N$1+O96/O$1+P96/P$1+Q96/Q$1+R96/R$1+S96/S$1+T96/T$1+U96/U$1+V96/V$1)*60</f>
        <v>4.3933333333333326</v>
      </c>
      <c r="X96" s="27">
        <f t="shared" ref="X96:X97" si="72">X95+W96</f>
        <v>121.33414273697989</v>
      </c>
      <c r="Y96" s="29"/>
      <c r="Z96" s="21">
        <f t="shared" ref="Z96:Z97" si="73">I96/W96*60</f>
        <v>90.000000000000014</v>
      </c>
      <c r="AA96" s="21">
        <f t="shared" ref="AA96:AA97" si="74">F96/X96*60</f>
        <v>42.987075751869334</v>
      </c>
      <c r="AB96" s="2">
        <f t="shared" ref="AB96:AB97" si="75">AA96*0.85</f>
        <v>36.539014389088933</v>
      </c>
      <c r="AC96" s="2">
        <f t="shared" ref="AC96:AC97" si="76">AA96*0.95</f>
        <v>40.837721964275865</v>
      </c>
      <c r="AD96" s="2">
        <f t="shared" ref="AD96:AD97" si="77">$F96/AB96*60</f>
        <v>142.74605027879986</v>
      </c>
      <c r="AE96" s="2">
        <f t="shared" ref="AE96:AE97" si="78">$F96/AC96*60</f>
        <v>127.7201502494525</v>
      </c>
    </row>
    <row r="97" spans="1:31" x14ac:dyDescent="0.25">
      <c r="A97" s="8" t="s">
        <v>319</v>
      </c>
      <c r="C97" s="8" t="s">
        <v>446</v>
      </c>
      <c r="D97" s="8" t="s">
        <v>447</v>
      </c>
      <c r="E97" s="5">
        <v>3.5</v>
      </c>
      <c r="F97" s="5">
        <f t="shared" ref="F97" si="79">F96+E97</f>
        <v>90.429999752044679</v>
      </c>
      <c r="G97" s="2" t="s">
        <v>448</v>
      </c>
      <c r="H97" s="2" t="s">
        <v>449</v>
      </c>
      <c r="I97" s="2">
        <f t="shared" si="69"/>
        <v>3.5</v>
      </c>
      <c r="J97" s="2">
        <f t="shared" si="70"/>
        <v>0</v>
      </c>
      <c r="K97" s="2">
        <v>3.5</v>
      </c>
      <c r="O97" s="27"/>
      <c r="P97" s="27"/>
      <c r="Q97" s="27"/>
      <c r="R97" s="27"/>
      <c r="S97" s="27"/>
      <c r="T97" s="27"/>
      <c r="U97" s="27"/>
      <c r="V97" s="27"/>
      <c r="W97" s="28">
        <f t="shared" si="71"/>
        <v>2.3333333333333335</v>
      </c>
      <c r="X97" s="27">
        <f t="shared" si="72"/>
        <v>123.66747607031321</v>
      </c>
      <c r="Y97" s="29"/>
      <c r="Z97" s="21">
        <f t="shared" si="73"/>
        <v>90</v>
      </c>
      <c r="AA97" s="21">
        <f t="shared" si="74"/>
        <v>43.874106252785104</v>
      </c>
      <c r="AB97" s="2">
        <f t="shared" si="75"/>
        <v>37.292990314867339</v>
      </c>
      <c r="AC97" s="2">
        <f t="shared" si="76"/>
        <v>41.680400940145844</v>
      </c>
      <c r="AD97" s="2">
        <f t="shared" si="77"/>
        <v>145.49114831801552</v>
      </c>
      <c r="AE97" s="2">
        <f t="shared" si="78"/>
        <v>130.17629060032968</v>
      </c>
    </row>
    <row r="98" spans="1:31" x14ac:dyDescent="0.25"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9"/>
    </row>
    <row r="99" spans="1:31" x14ac:dyDescent="0.25"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9"/>
    </row>
    <row r="100" spans="1:31" x14ac:dyDescent="0.25"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9"/>
    </row>
    <row r="101" spans="1:31" x14ac:dyDescent="0.25">
      <c r="O101" s="27"/>
      <c r="P101" s="27"/>
      <c r="Q101" s="27"/>
      <c r="R101" s="27"/>
      <c r="S101" s="27"/>
      <c r="T101" s="27"/>
      <c r="U101" s="27"/>
      <c r="V101" s="27"/>
      <c r="W101" s="28"/>
      <c r="X101" s="27"/>
      <c r="Y101" s="29"/>
    </row>
  </sheetData>
  <phoneticPr fontId="0" type="noConversion"/>
  <printOptions gridLines="1"/>
  <pageMargins left="0.43307086614173229" right="0.35433070866141736" top="0.78740157480314965" bottom="0.74803149606299213" header="0.51181102362204722" footer="0.51181102362204722"/>
  <pageSetup paperSize="5" scale="79" fitToHeight="3" orientation="landscape" horizontalDpi="4294967293" r:id="rId1"/>
  <headerFooter alignWithMargins="0">
    <oddHeader>&amp;A</oddHeader>
    <oddFooter>&amp;L&amp;8&amp;F&amp;C&amp;8Page &amp;Pof &amp;N&amp;R&amp;8Printed:  &amp;D  &amp;T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H24" sqref="H24"/>
    </sheetView>
  </sheetViews>
  <sheetFormatPr defaultRowHeight="15" x14ac:dyDescent="0.25"/>
  <cols>
    <col min="1" max="1" width="31" style="2" customWidth="1"/>
    <col min="2" max="2" width="10.5703125" style="2" customWidth="1"/>
    <col min="3" max="3" width="8.5703125" style="2" customWidth="1"/>
    <col min="4" max="6" width="9.140625" style="2"/>
  </cols>
  <sheetData>
    <row r="1" spans="1:6" ht="50.1" customHeight="1" x14ac:dyDescent="0.25">
      <c r="A1" s="48" t="str">
        <f>Midway!H1</f>
        <v>End</v>
      </c>
      <c r="B1" s="49" t="str">
        <f>Midway!F1</f>
        <v>Cumul -ative from Mill</v>
      </c>
      <c r="C1" s="48" t="str">
        <f>Midway!AB1</f>
        <v>Loaded Speed (85%)</v>
      </c>
      <c r="D1" s="48" t="str">
        <f>Midway!AC1</f>
        <v>Empty Speed (95%)</v>
      </c>
      <c r="E1" s="48" t="str">
        <f>Midway!AD1</f>
        <v>Loaded Time (min's)</v>
      </c>
      <c r="F1" s="48" t="str">
        <f>Midway!AE1</f>
        <v>Empty Time (min's)</v>
      </c>
    </row>
    <row r="2" spans="1:6" x14ac:dyDescent="0.25">
      <c r="A2" s="53" t="str">
        <f>Midway!H2</f>
        <v>Hwy 3 - Midway Mill Jct</v>
      </c>
      <c r="B2" s="51">
        <f>Midway!F2</f>
        <v>0.22</v>
      </c>
      <c r="C2" s="51">
        <f>Midway!AB2</f>
        <v>9.6724137931034484</v>
      </c>
      <c r="D2" s="51">
        <f>Midway!AC2</f>
        <v>10.810344827586208</v>
      </c>
      <c r="E2" s="51">
        <f>Midway!AD2</f>
        <v>1.364705882352941</v>
      </c>
      <c r="F2" s="51">
        <f>Midway!AE2</f>
        <v>1.2210526315789472</v>
      </c>
    </row>
    <row r="3" spans="1:6" x14ac:dyDescent="0.25">
      <c r="A3" s="53" t="str">
        <f>Midway!H3</f>
        <v>Hwy 3 - Midway Jct</v>
      </c>
      <c r="B3" s="51">
        <f>Midway!F3</f>
        <v>4.43</v>
      </c>
      <c r="C3" s="51">
        <f>Midway!AB3</f>
        <v>56.197498400966523</v>
      </c>
      <c r="D3" s="51">
        <f>Midway!AC3</f>
        <v>62.808968801080226</v>
      </c>
      <c r="E3" s="51">
        <f>Midway!AD3</f>
        <v>4.7297478991596638</v>
      </c>
      <c r="F3" s="51">
        <f>Midway!AE3</f>
        <v>4.2318796992481209</v>
      </c>
    </row>
    <row r="4" spans="1:6" x14ac:dyDescent="0.25">
      <c r="A4" s="57" t="str">
        <f>Midway!H4</f>
        <v>Myers Cr 9 K</v>
      </c>
      <c r="B4" s="55">
        <f>Midway!F4</f>
        <v>14.469999999999999</v>
      </c>
      <c r="C4" s="55">
        <f>Midway!AB4</f>
        <v>51.656866862662731</v>
      </c>
      <c r="D4" s="55">
        <f>Midway!AC4</f>
        <v>57.734145317093642</v>
      </c>
      <c r="E4" s="55">
        <f>Midway!AD4</f>
        <v>16.807058823529417</v>
      </c>
      <c r="F4" s="55">
        <f>Midway!AE4</f>
        <v>15.037894736842109</v>
      </c>
    </row>
    <row r="5" spans="1:6" x14ac:dyDescent="0.25">
      <c r="A5" s="53" t="str">
        <f>Midway!H5</f>
        <v>Hwy 3 - Norwegian Cr Jct</v>
      </c>
      <c r="B5" s="51">
        <f>Midway!F5</f>
        <v>7.6899999999999995</v>
      </c>
      <c r="C5" s="51">
        <f>Midway!AB5</f>
        <v>63.70562027196361</v>
      </c>
      <c r="D5" s="51">
        <f>Midway!AC5</f>
        <v>71.200399127488737</v>
      </c>
      <c r="E5" s="51">
        <f>Midway!AD5</f>
        <v>7.2426890756302518</v>
      </c>
      <c r="F5" s="51">
        <f>Midway!AE5</f>
        <v>6.4803007518796996</v>
      </c>
    </row>
    <row r="6" spans="1:6" x14ac:dyDescent="0.25">
      <c r="A6" s="53" t="str">
        <f>Midway!H6</f>
        <v>Hwy 3 - Kerr Cr Jct</v>
      </c>
      <c r="B6" s="51">
        <f>Midway!F6</f>
        <v>9.8699999999999992</v>
      </c>
      <c r="C6" s="51">
        <f>Midway!AB6</f>
        <v>66.520483292429674</v>
      </c>
      <c r="D6" s="51">
        <f>Midway!AC6</f>
        <v>74.346422503303756</v>
      </c>
      <c r="E6" s="51">
        <f>Midway!AD6</f>
        <v>8.9025210084033599</v>
      </c>
      <c r="F6" s="51">
        <f>Midway!AE6</f>
        <v>7.9654135338345862</v>
      </c>
    </row>
    <row r="7" spans="1:6" x14ac:dyDescent="0.25">
      <c r="A7" s="53" t="str">
        <f>Midway!H7</f>
        <v>Hwy 3 - McCarren Cr Jct</v>
      </c>
      <c r="B7" s="51">
        <f>Midway!F7</f>
        <v>13.329999999999998</v>
      </c>
      <c r="C7" s="51">
        <f>Midway!AB7</f>
        <v>69.071367403515382</v>
      </c>
      <c r="D7" s="51">
        <f>Midway!AC7</f>
        <v>77.197410627458368</v>
      </c>
      <c r="E7" s="51">
        <f>Midway!AD7</f>
        <v>11.579327731092437</v>
      </c>
      <c r="F7" s="51">
        <f>Midway!AE7</f>
        <v>10.360451127819548</v>
      </c>
    </row>
    <row r="8" spans="1:6" x14ac:dyDescent="0.25">
      <c r="A8" s="53" t="str">
        <f>Midway!H8</f>
        <v>Hwy 3 - Anaconda</v>
      </c>
      <c r="B8" s="51">
        <f>Midway!F8</f>
        <v>16.549999999999997</v>
      </c>
      <c r="C8" s="51">
        <f>Midway!AB8</f>
        <v>69.591053108915077</v>
      </c>
      <c r="D8" s="51">
        <f>Midway!AC8</f>
        <v>77.778235827610956</v>
      </c>
      <c r="E8" s="51">
        <f>Midway!AD8</f>
        <v>14.269075630252102</v>
      </c>
      <c r="F8" s="51">
        <f>Midway!AE8</f>
        <v>12.767067669172935</v>
      </c>
    </row>
    <row r="9" spans="1:6" x14ac:dyDescent="0.25">
      <c r="A9" s="53" t="str">
        <f>Midway!H9</f>
        <v>Hwy 3 - Greenwood-Phoenix</v>
      </c>
      <c r="B9" s="51">
        <f>Midway!F9</f>
        <v>18.129999999999995</v>
      </c>
      <c r="C9" s="51">
        <f>Midway!AB9</f>
        <v>65.928615810864471</v>
      </c>
      <c r="D9" s="51">
        <f>Midway!AC9</f>
        <v>73.684923553319109</v>
      </c>
      <c r="E9" s="51">
        <f>Midway!AD9</f>
        <v>16.499663865546221</v>
      </c>
      <c r="F9" s="51">
        <f>Midway!AE9</f>
        <v>14.762857142857145</v>
      </c>
    </row>
    <row r="10" spans="1:6" x14ac:dyDescent="0.25">
      <c r="A10" s="53" t="str">
        <f>Midway!H10</f>
        <v>Hwy 3 - Boundary Cr Jct</v>
      </c>
      <c r="B10" s="51">
        <f>Midway!F10</f>
        <v>21.509999999999994</v>
      </c>
      <c r="C10" s="51">
        <f>Midway!AB10</f>
        <v>63.109246459947876</v>
      </c>
      <c r="D10" s="51">
        <f>Midway!AC10</f>
        <v>70.533863690529984</v>
      </c>
      <c r="E10" s="51">
        <f>Midway!AD10</f>
        <v>20.450252100840338</v>
      </c>
      <c r="F10" s="51">
        <f>Midway!AE10</f>
        <v>18.297593984962404</v>
      </c>
    </row>
    <row r="11" spans="1:6" x14ac:dyDescent="0.25">
      <c r="A11" s="53" t="str">
        <f>Midway!H11</f>
        <v>Boundary Cr - Jewel Jct</v>
      </c>
      <c r="B11" s="51">
        <f>Midway!F11</f>
        <v>22.439999999999994</v>
      </c>
      <c r="C11" s="51">
        <f>Midway!AB11</f>
        <v>63.123357615346109</v>
      </c>
      <c r="D11" s="51">
        <f>Midway!AC11</f>
        <v>70.549634981857423</v>
      </c>
      <c r="E11" s="51">
        <f>Midway!AD11</f>
        <v>21.329663865546216</v>
      </c>
      <c r="F11" s="51">
        <f>Midway!AE11</f>
        <v>19.084436090225562</v>
      </c>
    </row>
    <row r="12" spans="1:6" x14ac:dyDescent="0.25">
      <c r="A12" s="57" t="str">
        <f>Midway!H12</f>
        <v>Jewel Lk - Rhoderick Dhu Jct</v>
      </c>
      <c r="B12" s="55">
        <f>Midway!F12</f>
        <v>27.049999999999994</v>
      </c>
      <c r="C12" s="55">
        <f>Midway!AB12</f>
        <v>50.440189813085809</v>
      </c>
      <c r="D12" s="55">
        <f>Midway!AC12</f>
        <v>56.374329791095903</v>
      </c>
      <c r="E12" s="55">
        <f>Midway!AD12</f>
        <v>32.176722689075632</v>
      </c>
      <c r="F12" s="55">
        <f>Midway!AE12</f>
        <v>28.789699248120304</v>
      </c>
    </row>
    <row r="13" spans="1:6" x14ac:dyDescent="0.25">
      <c r="A13" s="53" t="str">
        <f>Midway!H13</f>
        <v>Boundary Cr - Wallace Cr Jct</v>
      </c>
      <c r="B13" s="51">
        <f>Midway!F13</f>
        <v>23.929999999999993</v>
      </c>
      <c r="C13" s="51">
        <f>Midway!AB13</f>
        <v>63.406489824394711</v>
      </c>
      <c r="D13" s="51">
        <f>Midway!AC13</f>
        <v>70.866076862558785</v>
      </c>
      <c r="E13" s="51">
        <f>Midway!AD13</f>
        <v>22.644369747899159</v>
      </c>
      <c r="F13" s="51">
        <f>Midway!AE13</f>
        <v>20.260751879699253</v>
      </c>
    </row>
    <row r="14" spans="1:6" x14ac:dyDescent="0.25">
      <c r="A14" s="53" t="str">
        <f>Midway!H14</f>
        <v>Boundary Cr - East Fork Cr Jct</v>
      </c>
      <c r="B14" s="51">
        <f>Midway!F14</f>
        <v>30.729999999999993</v>
      </c>
      <c r="C14" s="51">
        <f>Midway!AB14</f>
        <v>64.368670570426076</v>
      </c>
      <c r="D14" s="51">
        <f>Midway!AC14</f>
        <v>71.941455343417388</v>
      </c>
      <c r="E14" s="51">
        <f>Midway!AD14</f>
        <v>28.644369747899159</v>
      </c>
      <c r="F14" s="51">
        <f>Midway!AE14</f>
        <v>25.629172932330825</v>
      </c>
    </row>
    <row r="15" spans="1:6" x14ac:dyDescent="0.25">
      <c r="A15" s="57" t="str">
        <f>Midway!H15</f>
        <v>East Fork-Rhoderick Dhu Jct</v>
      </c>
      <c r="B15" s="55">
        <f>Midway!F15</f>
        <v>35.579999999999991</v>
      </c>
      <c r="C15" s="55">
        <f>Midway!AB15</f>
        <v>58.730516883441133</v>
      </c>
      <c r="D15" s="55">
        <f>Midway!AC15</f>
        <v>65.639989457963622</v>
      </c>
      <c r="E15" s="55">
        <f>Midway!AD15</f>
        <v>36.349075630252095</v>
      </c>
      <c r="F15" s="55">
        <f>Midway!AE15</f>
        <v>32.522857142857141</v>
      </c>
    </row>
    <row r="16" spans="1:6" x14ac:dyDescent="0.25">
      <c r="A16" s="57" t="str">
        <f>Midway!H16</f>
        <v>East Fork-Pepper Cr Jct</v>
      </c>
      <c r="B16" s="55">
        <f>Midway!F16</f>
        <v>39.839999999999989</v>
      </c>
      <c r="C16" s="55">
        <f>Midway!AB16</f>
        <v>55.442475461342354</v>
      </c>
      <c r="D16" s="55">
        <f>Midway!AC16</f>
        <v>61.965119633264983</v>
      </c>
      <c r="E16" s="55">
        <f>Midway!AD16</f>
        <v>43.114957983193264</v>
      </c>
      <c r="F16" s="55">
        <f>Midway!AE16</f>
        <v>38.576541353383448</v>
      </c>
    </row>
    <row r="17" spans="1:6" x14ac:dyDescent="0.25">
      <c r="A17" s="57" t="str">
        <f>Midway!H17</f>
        <v>East Fork-Little East Fork Jct</v>
      </c>
      <c r="B17" s="55">
        <f>Midway!F17</f>
        <v>42.689999999999991</v>
      </c>
      <c r="C17" s="55">
        <f>Midway!AB17</f>
        <v>53.766122431700161</v>
      </c>
      <c r="D17" s="55">
        <f>Midway!AC17</f>
        <v>60.091548600135475</v>
      </c>
      <c r="E17" s="55">
        <f>Midway!AD17</f>
        <v>47.639663865546204</v>
      </c>
      <c r="F17" s="55">
        <f>Midway!AE17</f>
        <v>42.624962406015023</v>
      </c>
    </row>
    <row r="18" spans="1:6" x14ac:dyDescent="0.25">
      <c r="A18" s="57" t="str">
        <f>Midway!H18</f>
        <v>East Fork-Boundary Link Jct</v>
      </c>
      <c r="B18" s="55">
        <f>Midway!F18</f>
        <v>43.659999999999989</v>
      </c>
      <c r="C18" s="55">
        <f>Midway!AB18</f>
        <v>53.574787235505205</v>
      </c>
      <c r="D18" s="55">
        <f>Midway!AC18</f>
        <v>59.877703380858755</v>
      </c>
      <c r="E18" s="55">
        <f>Midway!AD18</f>
        <v>48.896134453781499</v>
      </c>
      <c r="F18" s="55">
        <f>Midway!AE18</f>
        <v>43.749172932330822</v>
      </c>
    </row>
    <row r="19" spans="1:6" x14ac:dyDescent="0.25">
      <c r="A19" s="53" t="str">
        <f>Midway!H19</f>
        <v>Boundary-Windfall Cr Jct</v>
      </c>
      <c r="B19" s="51">
        <f>Midway!F19</f>
        <v>31.030000011920922</v>
      </c>
      <c r="C19" s="51">
        <f>Midway!AB19</f>
        <v>64.050036431935197</v>
      </c>
      <c r="D19" s="51">
        <f>Midway!AC19</f>
        <v>71.585334835692279</v>
      </c>
      <c r="E19" s="51">
        <f>Midway!AD19</f>
        <v>29.067899168078632</v>
      </c>
      <c r="F19" s="51">
        <f>Midway!AE19</f>
        <v>26.008120308280883</v>
      </c>
    </row>
    <row r="20" spans="1:6" x14ac:dyDescent="0.25">
      <c r="A20" s="57" t="str">
        <f>Midway!H20</f>
        <v>Windfall - Blind Valley Jct</v>
      </c>
      <c r="B20" s="55">
        <f>Midway!F20</f>
        <v>35.430000011920924</v>
      </c>
      <c r="C20" s="55">
        <f>Midway!AB20</f>
        <v>57.715168335353653</v>
      </c>
      <c r="D20" s="55">
        <f>Midway!AC20</f>
        <v>64.505188139512896</v>
      </c>
      <c r="E20" s="55">
        <f>Midway!AD20</f>
        <v>36.832605050431575</v>
      </c>
      <c r="F20" s="55">
        <f>Midway!AE20</f>
        <v>32.955488729333517</v>
      </c>
    </row>
    <row r="21" spans="1:6" x14ac:dyDescent="0.25">
      <c r="A21" s="57" t="str">
        <f>Midway!H21</f>
        <v>Blind Valley - Williamson TFL Bdy</v>
      </c>
      <c r="B21" s="55">
        <f>Midway!F21</f>
        <v>46.230000011920922</v>
      </c>
      <c r="C21" s="55">
        <f>Midway!AB21</f>
        <v>46.087477386313097</v>
      </c>
      <c r="D21" s="55">
        <f>Midway!AC21</f>
        <v>51.509533549408758</v>
      </c>
      <c r="E21" s="55">
        <f>Midway!AD21</f>
        <v>60.185546226902176</v>
      </c>
      <c r="F21" s="55">
        <f>Midway!AE21</f>
        <v>53.850225571438777</v>
      </c>
    </row>
    <row r="22" spans="1:6" x14ac:dyDescent="0.25">
      <c r="A22" s="53" t="str">
        <f>Midway!H22</f>
        <v>Boundary Creek-Henderson Jct</v>
      </c>
      <c r="B22" s="51">
        <f>Midway!F22</f>
        <v>33.81000001192092</v>
      </c>
      <c r="C22" s="51">
        <f>Midway!AB22</f>
        <v>60.585619280825071</v>
      </c>
      <c r="D22" s="51">
        <f>Midway!AC22</f>
        <v>67.713339196216253</v>
      </c>
      <c r="E22" s="51">
        <f>Midway!AD22</f>
        <v>33.483193285725697</v>
      </c>
      <c r="F22" s="51">
        <f>Midway!AE22</f>
        <v>29.958646624070361</v>
      </c>
    </row>
    <row r="23" spans="1:6" x14ac:dyDescent="0.25">
      <c r="A23" s="53" t="str">
        <f>Midway!H23</f>
        <v>Boundary Creek-Dry Creek Jct</v>
      </c>
      <c r="B23" s="51">
        <f>Midway!F23</f>
        <v>40.989999840259543</v>
      </c>
      <c r="C23" s="51">
        <f>Midway!AB23</f>
        <v>53.780591260605995</v>
      </c>
      <c r="D23" s="51">
        <f>Midway!AC23</f>
        <v>60.107719644206696</v>
      </c>
      <c r="E23" s="51">
        <f>Midway!AD23</f>
        <v>45.730251988082365</v>
      </c>
      <c r="F23" s="51">
        <f>Midway!AE23</f>
        <v>40.916541252494753</v>
      </c>
    </row>
    <row r="24" spans="1:6" x14ac:dyDescent="0.25">
      <c r="A24" s="53" t="str">
        <f>Midway!H24</f>
        <v>Boundary Creek-Boundary Link Jct</v>
      </c>
      <c r="B24" s="51">
        <f>Midway!F24</f>
        <v>43.259999821186057</v>
      </c>
      <c r="C24" s="51">
        <f>Midway!AB24</f>
        <v>53.331606618584942</v>
      </c>
      <c r="D24" s="51">
        <f>Midway!AC24</f>
        <v>59.605913279594937</v>
      </c>
      <c r="E24" s="51">
        <f>Midway!AD24</f>
        <v>48.669075504030502</v>
      </c>
      <c r="F24" s="51">
        <f>Midway!AE24</f>
        <v>43.54601492465887</v>
      </c>
    </row>
    <row r="25" spans="1:6" x14ac:dyDescent="0.25">
      <c r="A25" s="53" t="str">
        <f>Midway!H25</f>
        <v>Boundary Creek-West Fork</v>
      </c>
      <c r="B25" s="51">
        <f>Midway!F25</f>
        <v>43.839999821186055</v>
      </c>
      <c r="C25" s="51">
        <f>Midway!AB25</f>
        <v>52.933429304589922</v>
      </c>
      <c r="D25" s="51">
        <f>Midway!AC25</f>
        <v>59.160891575718146</v>
      </c>
      <c r="E25" s="51">
        <f>Midway!AD25</f>
        <v>49.692604915795208</v>
      </c>
      <c r="F25" s="51">
        <f>Midway!AE25</f>
        <v>44.461804398343084</v>
      </c>
    </row>
    <row r="26" spans="1:6" x14ac:dyDescent="0.25">
      <c r="A26" s="57" t="str">
        <f>Midway!H26</f>
        <v>West Fork-Terraced Peak Jct</v>
      </c>
      <c r="B26" s="55">
        <f>Midway!F26</f>
        <v>51.099999821186053</v>
      </c>
      <c r="C26" s="55">
        <f>Midway!AB26</f>
        <v>51.149430050265913</v>
      </c>
      <c r="D26" s="55">
        <f>Midway!AC26</f>
        <v>57.167010056179549</v>
      </c>
      <c r="E26" s="55">
        <f>Midway!AD26</f>
        <v>59.942016680501091</v>
      </c>
      <c r="F26" s="55">
        <f>Midway!AE26</f>
        <v>53.632330714132557</v>
      </c>
    </row>
    <row r="27" spans="1:6" x14ac:dyDescent="0.25">
      <c r="A27" s="57" t="str">
        <f>Midway!H27</f>
        <v>West Fork 8.5 km -David Crk Jct</v>
      </c>
      <c r="B27" s="55">
        <f>Midway!F27</f>
        <v>52.269999821186055</v>
      </c>
      <c r="C27" s="55">
        <f>Midway!AB27</f>
        <v>50.917477684922332</v>
      </c>
      <c r="D27" s="55">
        <f>Midway!AC27</f>
        <v>56.907769177266132</v>
      </c>
      <c r="E27" s="55">
        <f>Midway!AD27</f>
        <v>61.593781386383441</v>
      </c>
      <c r="F27" s="55">
        <f>Midway!AE27</f>
        <v>55.11022545097466</v>
      </c>
    </row>
    <row r="28" spans="1:6" x14ac:dyDescent="0.25">
      <c r="A28" s="57" t="str">
        <f>Midway!H28</f>
        <v>West Fork - West Fork 15700 Jct</v>
      </c>
      <c r="B28" s="55">
        <f>Midway!F28</f>
        <v>59.469999821186057</v>
      </c>
      <c r="C28" s="55">
        <f>Midway!AB28</f>
        <v>43.55543103270405</v>
      </c>
      <c r="D28" s="55">
        <f>Midway!AC28</f>
        <v>48.679599389492758</v>
      </c>
      <c r="E28" s="55">
        <f>Midway!AD28</f>
        <v>81.923193151089308</v>
      </c>
      <c r="F28" s="55">
        <f>Midway!AE28</f>
        <v>73.299699135185179</v>
      </c>
    </row>
    <row r="29" spans="1:6" x14ac:dyDescent="0.25">
      <c r="A29" s="57" t="str">
        <f>Midway!H29</f>
        <v>West Fork - West Fork 23000 Jct</v>
      </c>
      <c r="B29" s="55">
        <f>Midway!F29</f>
        <v>66.769999821186062</v>
      </c>
      <c r="C29" s="55">
        <f>Midway!AB29</f>
        <v>38.367201363916124</v>
      </c>
      <c r="D29" s="55">
        <f>Midway!AC29</f>
        <v>42.88098975967096</v>
      </c>
      <c r="E29" s="55">
        <f>Midway!AD29</f>
        <v>104.41731079814815</v>
      </c>
      <c r="F29" s="55">
        <f>Midway!AE29</f>
        <v>93.426014924658872</v>
      </c>
    </row>
    <row r="30" spans="1:6" x14ac:dyDescent="0.25">
      <c r="A30" s="53" t="str">
        <f>Midway!H30</f>
        <v>Boundary Creek Terrace Lk.</v>
      </c>
      <c r="B30" s="51">
        <f>Midway!F30</f>
        <v>53.069999821186059</v>
      </c>
      <c r="C30" s="51">
        <f>Midway!AB30</f>
        <v>49.482323558376855</v>
      </c>
      <c r="D30" s="51">
        <f>Midway!AC30</f>
        <v>55.303773388774133</v>
      </c>
      <c r="E30" s="51">
        <f>Midway!AD30</f>
        <v>64.350251974618743</v>
      </c>
      <c r="F30" s="51">
        <f>Midway!AE30</f>
        <v>57.57654124044835</v>
      </c>
    </row>
    <row r="31" spans="1:6" x14ac:dyDescent="0.25">
      <c r="A31" s="53"/>
      <c r="B31" s="51"/>
      <c r="C31" s="51"/>
      <c r="D31" s="51"/>
      <c r="E31" s="51"/>
      <c r="F31" s="51"/>
    </row>
    <row r="32" spans="1:6" x14ac:dyDescent="0.25">
      <c r="A32" s="53"/>
      <c r="B32" s="51"/>
      <c r="C32" s="51"/>
      <c r="D32" s="51"/>
      <c r="E32" s="51"/>
      <c r="F32" s="51"/>
    </row>
    <row r="33" spans="1:6" x14ac:dyDescent="0.25">
      <c r="A33" s="53" t="str">
        <f>Midway!H33</f>
        <v>Hwy 3 - Midway Mill Jct</v>
      </c>
      <c r="B33" s="51">
        <f>Midway!F33</f>
        <v>0.22</v>
      </c>
      <c r="C33" s="51">
        <f>Midway!AB33</f>
        <v>9.6724137931034484</v>
      </c>
      <c r="D33" s="51">
        <f>Midway!AC33</f>
        <v>10.810344827586208</v>
      </c>
      <c r="E33" s="51">
        <f>Midway!AD33</f>
        <v>1.364705882352941</v>
      </c>
      <c r="F33" s="51">
        <f>Midway!AE33</f>
        <v>1.2210526315789472</v>
      </c>
    </row>
    <row r="34" spans="1:6" x14ac:dyDescent="0.25">
      <c r="A34" s="53" t="str">
        <f>Midway!H34</f>
        <v>Hwy 3 - Ingram Cr Rd</v>
      </c>
      <c r="B34" s="51">
        <f>Midway!F34</f>
        <v>4.47</v>
      </c>
      <c r="C34" s="51">
        <f>Midway!AB34</f>
        <v>56.249206908706384</v>
      </c>
      <c r="D34" s="51">
        <f>Midway!AC34</f>
        <v>62.866760662671837</v>
      </c>
      <c r="E34" s="51">
        <f>Midway!AD34</f>
        <v>4.7680672268907554</v>
      </c>
      <c r="F34" s="51">
        <f>Midway!AE34</f>
        <v>4.2661654135338338</v>
      </c>
    </row>
    <row r="35" spans="1:6" x14ac:dyDescent="0.25">
      <c r="A35" s="57" t="str">
        <f>Midway!H35</f>
        <v>Ingram - E. Ingram Jct</v>
      </c>
      <c r="B35" s="55">
        <f>Midway!F35</f>
        <v>9.120000000000001</v>
      </c>
      <c r="C35" s="55">
        <f>Midway!AB35</f>
        <v>34.832994543703869</v>
      </c>
      <c r="D35" s="55">
        <f>Midway!AC35</f>
        <v>38.930993901786671</v>
      </c>
      <c r="E35" s="55">
        <f>Midway!AD35</f>
        <v>15.709243697478993</v>
      </c>
      <c r="F35" s="55">
        <f>Midway!AE35</f>
        <v>14.055639097744361</v>
      </c>
    </row>
    <row r="36" spans="1:6" x14ac:dyDescent="0.25">
      <c r="A36" s="57" t="str">
        <f>Midway!H36</f>
        <v>Ingram - W. Ingram Jct</v>
      </c>
      <c r="B36" s="55">
        <f>Midway!F36</f>
        <v>11.31</v>
      </c>
      <c r="C36" s="55">
        <f>Midway!AB36</f>
        <v>36.09380866393721</v>
      </c>
      <c r="D36" s="55">
        <f>Midway!AC36</f>
        <v>40.340139094988643</v>
      </c>
      <c r="E36" s="55">
        <f>Midway!AD36</f>
        <v>18.801008403361344</v>
      </c>
      <c r="F36" s="55">
        <f>Midway!AE36</f>
        <v>16.821954887218045</v>
      </c>
    </row>
    <row r="37" spans="1:6" x14ac:dyDescent="0.25">
      <c r="A37" s="53" t="str">
        <f>Midway!H37</f>
        <v>Hwy 3-Kettle Valley Rd</v>
      </c>
      <c r="B37" s="51">
        <f>Midway!F37</f>
        <v>10.48</v>
      </c>
      <c r="C37" s="51">
        <f>Midway!AB37</f>
        <v>66.694475640408569</v>
      </c>
      <c r="D37" s="51">
        <f>Midway!AC37</f>
        <v>74.540884539280171</v>
      </c>
      <c r="E37" s="51">
        <f>Midway!AD37</f>
        <v>9.428067226890759</v>
      </c>
      <c r="F37" s="51">
        <f>Midway!AE37</f>
        <v>8.435639097744362</v>
      </c>
    </row>
    <row r="38" spans="1:6" x14ac:dyDescent="0.25">
      <c r="A38" s="53" t="str">
        <f>Midway!H38</f>
        <v>Hwy 3 - Hwy 33 Jct</v>
      </c>
      <c r="B38" s="51">
        <f>Midway!F38</f>
        <v>14.97</v>
      </c>
      <c r="C38" s="51">
        <f>Midway!AB38</f>
        <v>67.606451612903228</v>
      </c>
      <c r="D38" s="51">
        <f>Midway!AC38</f>
        <v>75.560151802656549</v>
      </c>
      <c r="E38" s="51">
        <f>Midway!AD38</f>
        <v>13.285714285714285</v>
      </c>
      <c r="F38" s="51">
        <f>Midway!AE38</f>
        <v>11.887218045112782</v>
      </c>
    </row>
    <row r="39" spans="1:6" x14ac:dyDescent="0.25">
      <c r="A39" s="53" t="str">
        <f>Midway!H39</f>
        <v>Hwy 3 - East Johnstone Cr</v>
      </c>
      <c r="B39" s="51">
        <f>Midway!F39</f>
        <v>21.34</v>
      </c>
      <c r="C39" s="51">
        <f>Midway!AB39</f>
        <v>69.079648906459695</v>
      </c>
      <c r="D39" s="51">
        <f>Midway!AC39</f>
        <v>77.206666424866711</v>
      </c>
      <c r="E39" s="51">
        <f>Midway!AD39</f>
        <v>18.535126050420164</v>
      </c>
      <c r="F39" s="51">
        <f>Midway!AE39</f>
        <v>16.58406015037594</v>
      </c>
    </row>
    <row r="40" spans="1:6" x14ac:dyDescent="0.25">
      <c r="A40" s="53" t="str">
        <f>Midway!H40</f>
        <v>Hwy 3 - Johnstone Cr</v>
      </c>
      <c r="B40" s="51">
        <f>Midway!F40</f>
        <v>22.889999952316284</v>
      </c>
      <c r="C40" s="51">
        <f>Midway!AB40</f>
        <v>67.880532268170654</v>
      </c>
      <c r="D40" s="51">
        <f>Midway!AC40</f>
        <v>75.866477240896614</v>
      </c>
      <c r="E40" s="51">
        <f>Midway!AD40</f>
        <v>20.232605008357716</v>
      </c>
      <c r="F40" s="51">
        <f>Midway!AE40</f>
        <v>18.102857112741113</v>
      </c>
    </row>
    <row r="41" spans="1:6" x14ac:dyDescent="0.25">
      <c r="A41" s="53" t="str">
        <f>Midway!H41</f>
        <v>Hwy 3 - Baldy Mtn Jct</v>
      </c>
      <c r="B41" s="51">
        <f>Midway!F41</f>
        <v>27.579999952316285</v>
      </c>
      <c r="C41" s="51">
        <f>Midway!AB41</f>
        <v>69.17671357692609</v>
      </c>
      <c r="D41" s="51">
        <f>Midway!AC41</f>
        <v>77.315150468329165</v>
      </c>
      <c r="E41" s="51">
        <f>Midway!AD41</f>
        <v>23.921344504156036</v>
      </c>
      <c r="F41" s="51">
        <f>Midway!AE41</f>
        <v>21.403308240560662</v>
      </c>
    </row>
    <row r="42" spans="1:6" x14ac:dyDescent="0.25">
      <c r="A42" s="53" t="str">
        <f>Midway!H42</f>
        <v>Hwy 3 - Sidley Jct.</v>
      </c>
      <c r="B42" s="51">
        <f>Midway!F42</f>
        <v>36.349999952316281</v>
      </c>
      <c r="C42" s="51">
        <f>Midway!AB42</f>
        <v>71.315245690180205</v>
      </c>
      <c r="D42" s="51">
        <f>Midway!AC42</f>
        <v>79.70527459490728</v>
      </c>
      <c r="E42" s="51">
        <f>Midway!AD42</f>
        <v>30.582520974744266</v>
      </c>
      <c r="F42" s="51">
        <f>Midway!AE42</f>
        <v>27.363308240560663</v>
      </c>
    </row>
    <row r="43" spans="1:6" x14ac:dyDescent="0.25">
      <c r="A43" s="53"/>
      <c r="B43" s="51"/>
      <c r="C43" s="51"/>
      <c r="D43" s="51"/>
      <c r="E43" s="51"/>
      <c r="F43" s="51"/>
    </row>
    <row r="44" spans="1:6" x14ac:dyDescent="0.25">
      <c r="A44" s="53" t="str">
        <f>Midway!H44</f>
        <v>Hwy 33-S.Kettle Bridge</v>
      </c>
      <c r="B44" s="51">
        <f>Midway!F44</f>
        <v>15.32</v>
      </c>
      <c r="C44" s="51">
        <f>Midway!AB44</f>
        <v>66.706183680936704</v>
      </c>
      <c r="D44" s="51">
        <f>Midway!AC44</f>
        <v>74.55396999634101</v>
      </c>
      <c r="E44" s="51">
        <f>Midway!AD44</f>
        <v>13.779831932773108</v>
      </c>
      <c r="F44" s="51">
        <f>Midway!AE44</f>
        <v>12.329323308270679</v>
      </c>
    </row>
    <row r="45" spans="1:6" x14ac:dyDescent="0.25">
      <c r="A45" s="57" t="str">
        <f>Midway!H45</f>
        <v>POC Nicholson Cr Rd</v>
      </c>
      <c r="B45" s="55">
        <f>Midway!F45</f>
        <v>20.050000019073487</v>
      </c>
      <c r="C45" s="55">
        <f>Midway!AB45</f>
        <v>62.18809732256674</v>
      </c>
      <c r="D45" s="55">
        <f>Midway!AC45</f>
        <v>69.504344066398119</v>
      </c>
      <c r="E45" s="55">
        <f>Midway!AD45</f>
        <v>19.344537828589687</v>
      </c>
      <c r="F45" s="55">
        <f>Midway!AE45</f>
        <v>17.308270688738141</v>
      </c>
    </row>
    <row r="46" spans="1:6" x14ac:dyDescent="0.25">
      <c r="A46" s="53" t="str">
        <f>Midway!H46</f>
        <v>Hwy 33-Christian Valley Jct</v>
      </c>
      <c r="B46" s="51">
        <f>Midway!F46</f>
        <v>28.39</v>
      </c>
      <c r="C46" s="51">
        <f>Midway!AB46</f>
        <v>67.986695883549856</v>
      </c>
      <c r="D46" s="51">
        <f>Midway!AC46</f>
        <v>75.985130693379247</v>
      </c>
      <c r="E46" s="51">
        <f>Midway!AD46</f>
        <v>25.054901960784314</v>
      </c>
      <c r="F46" s="51">
        <f>Midway!AE46</f>
        <v>22.417543859649122</v>
      </c>
    </row>
    <row r="47" spans="1:6" x14ac:dyDescent="0.25">
      <c r="A47" s="53" t="str">
        <f>Midway!H47</f>
        <v>Christian Valley-East Kettle Jct</v>
      </c>
      <c r="B47" s="51">
        <f>Midway!F47</f>
        <v>36.200000000000003</v>
      </c>
      <c r="C47" s="51">
        <f>Midway!AB47</f>
        <v>65.957026930470732</v>
      </c>
      <c r="D47" s="51">
        <f>Midway!AC47</f>
        <v>73.71667715758494</v>
      </c>
      <c r="E47" s="51">
        <f>Midway!AD47</f>
        <v>32.930532212885154</v>
      </c>
      <c r="F47" s="51">
        <f>Midway!AE47</f>
        <v>29.464160401002506</v>
      </c>
    </row>
    <row r="48" spans="1:6" x14ac:dyDescent="0.25">
      <c r="A48" s="53" t="str">
        <f>Midway!H48</f>
        <v>Christian Valley-Oulette Cr Jct</v>
      </c>
      <c r="B48" s="51">
        <f>Midway!F48</f>
        <v>42.810000133514407</v>
      </c>
      <c r="C48" s="51">
        <f>Midway!AB48</f>
        <v>64.870060461897069</v>
      </c>
      <c r="D48" s="51">
        <f>Midway!AC48</f>
        <v>72.501832280943788</v>
      </c>
      <c r="E48" s="51">
        <f>Midway!AD48</f>
        <v>39.596078525618012</v>
      </c>
      <c r="F48" s="51">
        <f>Midway!AE48</f>
        <v>35.42807025976348</v>
      </c>
    </row>
    <row r="49" spans="1:6" x14ac:dyDescent="0.25">
      <c r="A49" s="57" t="str">
        <f>Midway!H49</f>
        <v>Ouelette - Boomerang Jct</v>
      </c>
      <c r="B49" s="55">
        <f>Midway!F49</f>
        <v>48.310000133514407</v>
      </c>
      <c r="C49" s="55">
        <f>Midway!AB49</f>
        <v>56.220350315970997</v>
      </c>
      <c r="D49" s="55">
        <f>Midway!AC49</f>
        <v>62.834509176673464</v>
      </c>
      <c r="E49" s="55">
        <f>Midway!AD49</f>
        <v>51.557843231500364</v>
      </c>
      <c r="F49" s="55">
        <f>Midway!AE49</f>
        <v>46.130701838710849</v>
      </c>
    </row>
    <row r="50" spans="1:6" x14ac:dyDescent="0.25">
      <c r="A50" s="53" t="str">
        <f>Midway!H50</f>
        <v>Christian Valley-Crouse Cr Jct</v>
      </c>
      <c r="B50" s="51">
        <f>Midway!F50</f>
        <v>50.000000133514405</v>
      </c>
      <c r="C50" s="51">
        <f>Midway!AB50</f>
        <v>64.822072229031875</v>
      </c>
      <c r="D50" s="51">
        <f>Midway!AC50</f>
        <v>72.448198373623867</v>
      </c>
      <c r="E50" s="51">
        <f>Midway!AD50</f>
        <v>46.28053230713062</v>
      </c>
      <c r="F50" s="51">
        <f>Midway!AE50</f>
        <v>41.408897327432655</v>
      </c>
    </row>
    <row r="51" spans="1:6" x14ac:dyDescent="0.25">
      <c r="A51" s="53" t="str">
        <f>Midway!H51</f>
        <v>Christian Valley-Lost Horse Jct</v>
      </c>
      <c r="B51" s="51">
        <f>Midway!F51</f>
        <v>55.250000133514405</v>
      </c>
      <c r="C51" s="51">
        <f>Midway!AB51</f>
        <v>65.111218738503752</v>
      </c>
      <c r="D51" s="51">
        <f>Midway!AC51</f>
        <v>72.771362119504204</v>
      </c>
      <c r="E51" s="51">
        <f>Midway!AD51</f>
        <v>50.912885248307099</v>
      </c>
      <c r="F51" s="51">
        <f>Midway!AE51</f>
        <v>45.553634169537922</v>
      </c>
    </row>
    <row r="52" spans="1:6" x14ac:dyDescent="0.25">
      <c r="A52" s="53" t="str">
        <f>Midway!H52</f>
        <v>Christian Valley-4th of July Cr Jct</v>
      </c>
      <c r="B52" s="51">
        <f>Midway!F52</f>
        <v>59.770000133514401</v>
      </c>
      <c r="C52" s="51">
        <f>Midway!AB52</f>
        <v>65.321071274667958</v>
      </c>
      <c r="D52" s="51">
        <f>Midway!AC52</f>
        <v>73.005903189334774</v>
      </c>
      <c r="E52" s="51">
        <f>Midway!AD52</f>
        <v>54.901120542424742</v>
      </c>
      <c r="F52" s="51">
        <f>Midway!AE52</f>
        <v>49.122055222169507</v>
      </c>
    </row>
    <row r="53" spans="1:6" x14ac:dyDescent="0.25">
      <c r="A53" s="53" t="str">
        <f>Midway!H53</f>
        <v>Christian Valley-State Cr Jct</v>
      </c>
      <c r="B53" s="51">
        <f>Midway!F53</f>
        <v>72.410000133514401</v>
      </c>
      <c r="C53" s="51">
        <f>Midway!AB53</f>
        <v>65.77339674432244</v>
      </c>
      <c r="D53" s="51">
        <f>Midway!AC53</f>
        <v>73.511443420125076</v>
      </c>
      <c r="E53" s="51">
        <f>Midway!AD53</f>
        <v>66.054061718895341</v>
      </c>
      <c r="F53" s="51">
        <f>Midway!AE53</f>
        <v>59.101002590590568</v>
      </c>
    </row>
    <row r="54" spans="1:6" x14ac:dyDescent="0.25">
      <c r="A54" s="57" t="str">
        <f>Midway!H54</f>
        <v>Beaverdell Cr - State Cr Jct</v>
      </c>
      <c r="B54" s="55">
        <f>Midway!F54</f>
        <v>79.300000133514402</v>
      </c>
      <c r="C54" s="55">
        <f>Midway!AB54</f>
        <v>55.643799731108572</v>
      </c>
      <c r="D54" s="55">
        <f>Midway!AC54</f>
        <v>62.190129111238988</v>
      </c>
      <c r="E54" s="55">
        <f>Midway!AD54</f>
        <v>85.508179365954177</v>
      </c>
      <c r="F54" s="55">
        <f>Midway!AE54</f>
        <v>76.507318380064262</v>
      </c>
    </row>
    <row r="55" spans="1:6" x14ac:dyDescent="0.25">
      <c r="A55" s="53" t="str">
        <f>Midway!H55</f>
        <v>Christian Valley-Barth Cr Jct</v>
      </c>
      <c r="B55" s="51">
        <f>Midway!F55</f>
        <v>78.680000133514397</v>
      </c>
      <c r="C55" s="51">
        <f>Midway!AB55</f>
        <v>65.582868497831555</v>
      </c>
      <c r="D55" s="51">
        <f>Midway!AC55</f>
        <v>73.298500085811739</v>
      </c>
      <c r="E55" s="51">
        <f>Midway!AD55</f>
        <v>71.982212979399549</v>
      </c>
      <c r="F55" s="51">
        <f>Midway!AE55</f>
        <v>64.405137928936426</v>
      </c>
    </row>
    <row r="56" spans="1:6" x14ac:dyDescent="0.25">
      <c r="A56" s="53" t="str">
        <f>Midway!H56</f>
        <v>Christian Valley-Grano Jct</v>
      </c>
      <c r="B56" s="51">
        <f>Midway!F56</f>
        <v>79.350000133514399</v>
      </c>
      <c r="C56" s="51">
        <f>Midway!AB56</f>
        <v>65.283482124611993</v>
      </c>
      <c r="D56" s="51">
        <f>Midway!AC56</f>
        <v>72.963891786331047</v>
      </c>
      <c r="E56" s="51">
        <f>Midway!AD56</f>
        <v>72.928095332340703</v>
      </c>
      <c r="F56" s="51">
        <f>Midway!AE56</f>
        <v>65.251453718410104</v>
      </c>
    </row>
    <row r="57" spans="1:6" x14ac:dyDescent="0.25">
      <c r="A57" s="57" t="str">
        <f>Midway!H57</f>
        <v>Grano-Grand Canyon Jct</v>
      </c>
      <c r="B57" s="55">
        <f>Midway!F57</f>
        <v>81.470000133514404</v>
      </c>
      <c r="C57" s="55">
        <f>Midway!AB57</f>
        <v>62.736527358373309</v>
      </c>
      <c r="D57" s="55">
        <f>Midway!AC57</f>
        <v>70.11729528288781</v>
      </c>
      <c r="E57" s="55">
        <f>Midway!AD57</f>
        <v>77.916330626458347</v>
      </c>
      <c r="F57" s="55">
        <f>Midway!AE57</f>
        <v>69.714611613146957</v>
      </c>
    </row>
    <row r="58" spans="1:6" x14ac:dyDescent="0.25">
      <c r="A58" s="57" t="str">
        <f>Midway!H58</f>
        <v>Grano-Hellroarer Jct</v>
      </c>
      <c r="B58" s="55">
        <f>Midway!F58</f>
        <v>90.01000013351441</v>
      </c>
      <c r="C58" s="55">
        <f>Midway!AB58</f>
        <v>56.551564966715063</v>
      </c>
      <c r="D58" s="55">
        <f>Midway!AC58</f>
        <v>63.204690256916834</v>
      </c>
      <c r="E58" s="55">
        <f>Midway!AD58</f>
        <v>95.498683567634828</v>
      </c>
      <c r="F58" s="55">
        <f>Midway!AE58</f>
        <v>85.446190560515362</v>
      </c>
    </row>
    <row r="59" spans="1:6" x14ac:dyDescent="0.25">
      <c r="A59" s="57" t="str">
        <f>Midway!H59</f>
        <v>Grano-East Cochrane Jct</v>
      </c>
      <c r="B59" s="55">
        <f>Midway!F59</f>
        <v>101.81000013351441</v>
      </c>
      <c r="C59" s="55">
        <f>Midway!AB59</f>
        <v>51.781280961159595</v>
      </c>
      <c r="D59" s="55">
        <f>Midway!AC59</f>
        <v>57.87319636835484</v>
      </c>
      <c r="E59" s="55">
        <f>Midway!AD59</f>
        <v>117.96927180292892</v>
      </c>
      <c r="F59" s="55">
        <f>Midway!AE59</f>
        <v>105.55145371841009</v>
      </c>
    </row>
    <row r="60" spans="1:6" x14ac:dyDescent="0.25">
      <c r="A60" s="53" t="str">
        <f>Midway!H60</f>
        <v>Christian Valley-Rendell Cr Jct</v>
      </c>
      <c r="B60" s="51">
        <f>Midway!F60</f>
        <v>87.190000133514403</v>
      </c>
      <c r="C60" s="51">
        <f>Midway!AB60</f>
        <v>63.750239393760161</v>
      </c>
      <c r="D60" s="51">
        <f>Midway!AC60</f>
        <v>71.250267557731945</v>
      </c>
      <c r="E60" s="51">
        <f>Midway!AD60</f>
        <v>82.060868441584404</v>
      </c>
      <c r="F60" s="51">
        <f>Midway!AE60</f>
        <v>73.422882289838682</v>
      </c>
    </row>
    <row r="61" spans="1:6" x14ac:dyDescent="0.25">
      <c r="A61" s="57" t="str">
        <f>Midway!H61</f>
        <v>Rendell-Center Mtn Jct</v>
      </c>
      <c r="B61" s="55">
        <f>Midway!F61</f>
        <v>90.640000133514405</v>
      </c>
      <c r="C61" s="55">
        <f>Midway!AB61</f>
        <v>62.432894212475524</v>
      </c>
      <c r="D61" s="55">
        <f>Midway!AC61</f>
        <v>69.77794059041382</v>
      </c>
      <c r="E61" s="55">
        <f>Midway!AD61</f>
        <v>87.10792726511383</v>
      </c>
      <c r="F61" s="55">
        <f>Midway!AE61</f>
        <v>77.938671763522905</v>
      </c>
    </row>
    <row r="62" spans="1:6" x14ac:dyDescent="0.25">
      <c r="A62" s="57" t="str">
        <f>Midway!H62</f>
        <v>Rendell-Arthurs Cr Jct</v>
      </c>
      <c r="B62" s="55">
        <f>Midway!F62</f>
        <v>96.540000133514411</v>
      </c>
      <c r="C62" s="55">
        <f>Midway!AB62</f>
        <v>60.536515230921943</v>
      </c>
      <c r="D62" s="55">
        <f>Midway!AC62</f>
        <v>67.658458199265695</v>
      </c>
      <c r="E62" s="55">
        <f>Midway!AD62</f>
        <v>95.684397853349139</v>
      </c>
      <c r="F62" s="55">
        <f>Midway!AE62</f>
        <v>85.612355974049223</v>
      </c>
    </row>
    <row r="63" spans="1:6" x14ac:dyDescent="0.25">
      <c r="A63" s="57" t="str">
        <f>Midway!H63</f>
        <v>Rendell-Goatskin Jct</v>
      </c>
      <c r="B63" s="55">
        <f>Midway!F63</f>
        <v>99.150000133514411</v>
      </c>
      <c r="C63" s="55">
        <f>Midway!AB63</f>
        <v>59.778527701873998</v>
      </c>
      <c r="D63" s="55">
        <f>Midway!AC63</f>
        <v>66.811295666800348</v>
      </c>
      <c r="E63" s="55">
        <f>Midway!AD63</f>
        <v>99.517339029819723</v>
      </c>
      <c r="F63" s="55">
        <f>Midway!AE63</f>
        <v>89.041829658259758</v>
      </c>
    </row>
    <row r="64" spans="1:6" x14ac:dyDescent="0.25">
      <c r="A64" s="57" t="str">
        <f>Midway!H64</f>
        <v>Goatskin-S.Goatskin Jct</v>
      </c>
      <c r="B64" s="55">
        <f>Midway!F64</f>
        <v>110.78000013351441</v>
      </c>
      <c r="C64" s="55">
        <f>Midway!AB64</f>
        <v>53.838327644470198</v>
      </c>
      <c r="D64" s="55">
        <f>Midway!AC64</f>
        <v>60.172248543819634</v>
      </c>
      <c r="E64" s="55">
        <f>Midway!AD64</f>
        <v>123.45851550040791</v>
      </c>
      <c r="F64" s="55">
        <f>Midway!AE64</f>
        <v>110.46288228983866</v>
      </c>
    </row>
    <row r="65" spans="1:6" x14ac:dyDescent="0.25">
      <c r="A65" s="57" t="str">
        <f>Midway!H65</f>
        <v>Goatskin - 800 Jct</v>
      </c>
      <c r="B65" s="55">
        <f>Midway!F65</f>
        <v>117.28000013351441</v>
      </c>
      <c r="C65" s="55">
        <f>Midway!AB65</f>
        <v>52.703267299532293</v>
      </c>
      <c r="D65" s="55">
        <f>Midway!AC65</f>
        <v>58.903651687712561</v>
      </c>
      <c r="E65" s="55">
        <f>Midway!AD65</f>
        <v>133.51733902981971</v>
      </c>
      <c r="F65" s="55">
        <f>Midway!AE65</f>
        <v>119.4628822898387</v>
      </c>
    </row>
    <row r="66" spans="1:6" x14ac:dyDescent="0.25">
      <c r="A66" s="53" t="str">
        <f>Midway!H66</f>
        <v>Christian Valley-Nevertouch Jct</v>
      </c>
      <c r="B66" s="51">
        <f>Midway!F66</f>
        <v>95.400000133514396</v>
      </c>
      <c r="C66" s="51">
        <f>Midway!AB66</f>
        <v>63.726183021462681</v>
      </c>
      <c r="D66" s="51">
        <f>Midway!AC66</f>
        <v>71.223381023987699</v>
      </c>
      <c r="E66" s="51">
        <f>Midway!AD66</f>
        <v>89.821792811332301</v>
      </c>
      <c r="F66" s="51">
        <f>Midway!AE66</f>
        <v>80.366867252244703</v>
      </c>
    </row>
    <row r="67" spans="1:6" x14ac:dyDescent="0.25">
      <c r="A67" s="53"/>
      <c r="B67" s="51"/>
      <c r="C67" s="51"/>
      <c r="D67" s="51"/>
      <c r="E67" s="51"/>
      <c r="F67" s="51"/>
    </row>
    <row r="68" spans="1:6" x14ac:dyDescent="0.25">
      <c r="A68" s="53"/>
      <c r="B68" s="51"/>
      <c r="C68" s="51"/>
      <c r="D68" s="51"/>
      <c r="E68" s="51"/>
      <c r="F68" s="51"/>
    </row>
    <row r="69" spans="1:6" ht="15" customHeight="1" x14ac:dyDescent="0.25">
      <c r="A69" s="53" t="str">
        <f>Midway!H69</f>
        <v>Hwy 33 -    Harrison Jct.</v>
      </c>
      <c r="B69" s="51">
        <f>Midway!F69</f>
        <v>30.19</v>
      </c>
      <c r="C69" s="51">
        <f>Midway!AB69</f>
        <v>67.582488556319632</v>
      </c>
      <c r="D69" s="51">
        <f>Midway!AC69</f>
        <v>75.533369562945467</v>
      </c>
      <c r="E69" s="51">
        <f>Midway!AD69</f>
        <v>26.80280112044818</v>
      </c>
      <c r="F69" s="51">
        <f>Midway!AE69</f>
        <v>23.981453634085216</v>
      </c>
    </row>
    <row r="70" spans="1:6" ht="15" customHeight="1" x14ac:dyDescent="0.25">
      <c r="A70" s="53" t="str">
        <f>Midway!H70</f>
        <v>Hwy 33-Rhone Jct</v>
      </c>
      <c r="B70" s="51">
        <f>Midway!F70</f>
        <v>33.19</v>
      </c>
      <c r="C70" s="51">
        <f>Midway!AB70</f>
        <v>68.145026167973455</v>
      </c>
      <c r="D70" s="51">
        <f>Midway!AC70</f>
        <v>76.162088070087975</v>
      </c>
      <c r="E70" s="51">
        <f>Midway!AD70</f>
        <v>29.222969187675073</v>
      </c>
      <c r="F70" s="51">
        <f>Midway!AE70</f>
        <v>26.146867167919801</v>
      </c>
    </row>
    <row r="71" spans="1:6" x14ac:dyDescent="0.25">
      <c r="A71" s="57" t="str">
        <f>Midway!H71</f>
        <v>Rhone-Ripperto Jct</v>
      </c>
      <c r="B71" s="55">
        <f>Midway!F71</f>
        <v>34.46</v>
      </c>
      <c r="C71" s="55">
        <f>Midway!AB71</f>
        <v>66.662560464133335</v>
      </c>
      <c r="D71" s="55">
        <f>Midway!AC71</f>
        <v>74.505214636384324</v>
      </c>
      <c r="E71" s="55">
        <f>Midway!AD71</f>
        <v>31.015910364145661</v>
      </c>
      <c r="F71" s="55">
        <f>Midway!AE71</f>
        <v>27.75107769423559</v>
      </c>
    </row>
    <row r="72" spans="1:6" x14ac:dyDescent="0.25">
      <c r="A72" s="57" t="str">
        <f>Midway!H72</f>
        <v>Conkle-Ripperto FSR</v>
      </c>
      <c r="B72" s="55">
        <f>Midway!F72</f>
        <v>44.38</v>
      </c>
      <c r="C72" s="55">
        <f>Midway!AB72</f>
        <v>56.932465808884295</v>
      </c>
      <c r="D72" s="55">
        <f>Midway!AC72</f>
        <v>63.630402962870683</v>
      </c>
      <c r="E72" s="55">
        <f>Midway!AD72</f>
        <v>46.771204481792722</v>
      </c>
      <c r="F72" s="55">
        <f>Midway!AE72</f>
        <v>41.847919799498754</v>
      </c>
    </row>
    <row r="73" spans="1:6" x14ac:dyDescent="0.25">
      <c r="A73" s="57" t="str">
        <f>Midway!H73</f>
        <v>Rhone-Richeleau Cr Jct</v>
      </c>
      <c r="B73" s="55">
        <f>Midway!F73</f>
        <v>38.980000000000004</v>
      </c>
      <c r="C73" s="55">
        <f>Midway!AB73</f>
        <v>64.370245191610863</v>
      </c>
      <c r="D73" s="55">
        <f>Midway!AC73</f>
        <v>71.943215214153327</v>
      </c>
      <c r="E73" s="55">
        <f>Midway!AD73</f>
        <v>36.3335574229692</v>
      </c>
      <c r="F73" s="55">
        <f>Midway!AE73</f>
        <v>32.508972431077702</v>
      </c>
    </row>
    <row r="74" spans="1:6" x14ac:dyDescent="0.25">
      <c r="A74" s="53" t="str">
        <f>Midway!H74</f>
        <v>Hwy 33-Taurus Cr Jct</v>
      </c>
      <c r="B74" s="51">
        <f>Midway!F74</f>
        <v>44.459999999999994</v>
      </c>
      <c r="C74" s="51">
        <f>Midway!AB74</f>
        <v>68.87888212234742</v>
      </c>
      <c r="D74" s="51">
        <f>Midway!AC74</f>
        <v>76.982280019094162</v>
      </c>
      <c r="E74" s="51">
        <f>Midway!AD74</f>
        <v>38.728851540616247</v>
      </c>
      <c r="F74" s="51">
        <f>Midway!AE74</f>
        <v>34.652130325814539</v>
      </c>
    </row>
    <row r="75" spans="1:6" x14ac:dyDescent="0.25">
      <c r="A75" s="53" t="str">
        <f>Midway!H75</f>
        <v>Hwy 33-Boyer Cr Jct</v>
      </c>
      <c r="B75" s="51">
        <f>Midway!F75</f>
        <v>48.959999999999994</v>
      </c>
      <c r="C75" s="51">
        <f>Midway!AB75</f>
        <v>69.404984712313535</v>
      </c>
      <c r="D75" s="51">
        <f>Midway!AC75</f>
        <v>77.570277031409233</v>
      </c>
      <c r="E75" s="51">
        <f>Midway!AD75</f>
        <v>42.325490196078427</v>
      </c>
      <c r="F75" s="51">
        <f>Midway!AE75</f>
        <v>37.870175438596497</v>
      </c>
    </row>
    <row r="76" spans="1:6" x14ac:dyDescent="0.25">
      <c r="A76" s="53" t="str">
        <f>Midway!H76</f>
        <v>Hwy 33-Eugene Cr Jct</v>
      </c>
      <c r="B76" s="51">
        <f>Midway!F76</f>
        <v>56.369999847412103</v>
      </c>
      <c r="C76" s="51">
        <f>Midway!AB76</f>
        <v>69.758241343458408</v>
      </c>
      <c r="D76" s="51">
        <f>Midway!AC76</f>
        <v>77.965093266218219</v>
      </c>
      <c r="E76" s="51">
        <f>Midway!AD76</f>
        <v>48.48459372982591</v>
      </c>
      <c r="F76" s="51">
        <f>Midway!AE76</f>
        <v>43.380952284581085</v>
      </c>
    </row>
    <row r="77" spans="1:6" x14ac:dyDescent="0.25">
      <c r="A77" s="57" t="str">
        <f>Midway!H77</f>
        <v>Eugene Cr-Eugene Carmi Link Jct</v>
      </c>
      <c r="B77" s="55">
        <f>Midway!F77</f>
        <v>70.639999847412099</v>
      </c>
      <c r="C77" s="55">
        <f>Midway!AB77</f>
        <v>59.569523974995327</v>
      </c>
      <c r="D77" s="55">
        <f>Midway!AC77</f>
        <v>66.577703266171241</v>
      </c>
      <c r="E77" s="55">
        <f>Midway!AD77</f>
        <v>71.150476082767085</v>
      </c>
      <c r="F77" s="55">
        <f>Midway!AE77</f>
        <v>63.660952284581093</v>
      </c>
    </row>
    <row r="78" spans="1:6" x14ac:dyDescent="0.25">
      <c r="A78" s="53" t="str">
        <f>Midway!H78</f>
        <v>Hwy 33 -Beavercreek Jct</v>
      </c>
      <c r="B78" s="51">
        <f>Midway!F78</f>
        <v>64.489999847412108</v>
      </c>
      <c r="C78" s="51">
        <f>Midway!AB78</f>
        <v>68.42355583659095</v>
      </c>
      <c r="D78" s="51">
        <f>Midway!AC78</f>
        <v>76.473385935013411</v>
      </c>
      <c r="E78" s="51">
        <f>Midway!AD78</f>
        <v>56.550700172402941</v>
      </c>
      <c r="F78" s="51">
        <f>Midway!AE78</f>
        <v>50.597994891097372</v>
      </c>
    </row>
    <row r="79" spans="1:6" x14ac:dyDescent="0.25">
      <c r="A79" s="57" t="str">
        <f>Midway!H79</f>
        <v>Beaver Creek- ? Jct</v>
      </c>
      <c r="B79" s="55">
        <f>Midway!F79</f>
        <v>74.179999847412105</v>
      </c>
      <c r="C79" s="55">
        <f>Midway!AB79</f>
        <v>66.312302256187763</v>
      </c>
      <c r="D79" s="55">
        <f>Midway!AC79</f>
        <v>74.113749580445145</v>
      </c>
      <c r="E79" s="55">
        <f>Midway!AD79</f>
        <v>67.118767399293716</v>
      </c>
      <c r="F79" s="55">
        <f>Midway!AE79</f>
        <v>60.053633988841746</v>
      </c>
    </row>
    <row r="80" spans="1:6" x14ac:dyDescent="0.25">
      <c r="A80" s="57" t="str">
        <f>Midway!H80</f>
        <v>Beaver Creek-Crouse Cr Jct</v>
      </c>
      <c r="B80" s="55">
        <f>Midway!F80</f>
        <v>75.479999847412103</v>
      </c>
      <c r="C80" s="55">
        <f>Midway!AB80</f>
        <v>65.971159701490166</v>
      </c>
      <c r="D80" s="55">
        <f>Midway!AC80</f>
        <v>73.732472607547834</v>
      </c>
      <c r="E80" s="55">
        <f>Midway!AD80</f>
        <v>68.648179163999586</v>
      </c>
      <c r="F80" s="55">
        <f>Midway!AE80</f>
        <v>61.422055041473314</v>
      </c>
    </row>
    <row r="81" spans="1:6" x14ac:dyDescent="0.25">
      <c r="A81" s="57" t="str">
        <f>Midway!H81</f>
        <v>Beaverdell Cr Summit</v>
      </c>
      <c r="B81" s="55">
        <f>Midway!F81</f>
        <v>85.879999847412108</v>
      </c>
      <c r="C81" s="55">
        <f>Midway!AB81</f>
        <v>62.757131813535466</v>
      </c>
      <c r="D81" s="55">
        <f>Midway!AC81</f>
        <v>70.140323791598462</v>
      </c>
      <c r="E81" s="55">
        <f>Midway!AD81</f>
        <v>82.107002693411332</v>
      </c>
      <c r="F81" s="55">
        <f>Midway!AE81</f>
        <v>73.464160304631193</v>
      </c>
    </row>
    <row r="82" spans="1:6" x14ac:dyDescent="0.25">
      <c r="A82" s="53" t="str">
        <f>Midway!H82</f>
        <v>Hwy 33-Smoker Rd Jct</v>
      </c>
      <c r="B82" s="51">
        <f>Midway!F82</f>
        <v>70.839999752044676</v>
      </c>
      <c r="C82" s="51">
        <f>Midway!AB82</f>
        <v>68.299955841870585</v>
      </c>
      <c r="D82" s="51">
        <f>Midway!AC82</f>
        <v>76.335244764443587</v>
      </c>
      <c r="E82" s="51">
        <f>Midway!AD82</f>
        <v>62.231372373992322</v>
      </c>
      <c r="F82" s="51">
        <f>Midway!AE82</f>
        <v>55.680701597782608</v>
      </c>
    </row>
    <row r="83" spans="1:6" x14ac:dyDescent="0.25">
      <c r="A83" s="57" t="str">
        <f>Midway!H83</f>
        <v>China Cr 0K</v>
      </c>
      <c r="B83" s="55">
        <f>Midway!F83</f>
        <v>71.669999752044674</v>
      </c>
      <c r="C83" s="55">
        <f>Midway!AB83</f>
        <v>67.823142247761794</v>
      </c>
      <c r="D83" s="55">
        <f>Midway!AC83</f>
        <v>75.80233545338082</v>
      </c>
      <c r="E83" s="55">
        <f>Midway!AD83</f>
        <v>63.403137079874668</v>
      </c>
      <c r="F83" s="55">
        <f>Midway!AE83</f>
        <v>56.72912265041419</v>
      </c>
    </row>
    <row r="84" spans="1:6" x14ac:dyDescent="0.25">
      <c r="A84" s="53" t="str">
        <f>Midway!H84</f>
        <v>Hwy 33-Carmi Jct</v>
      </c>
      <c r="B84" s="51">
        <f>Midway!F84</f>
        <v>71.669999752044674</v>
      </c>
      <c r="C84" s="51">
        <f>Midway!AB84</f>
        <v>68.263213079914905</v>
      </c>
      <c r="D84" s="51">
        <f>Midway!AC84</f>
        <v>76.294179324610766</v>
      </c>
      <c r="E84" s="51">
        <f>Midway!AD84</f>
        <v>62.994397584076346</v>
      </c>
      <c r="F84" s="51">
        <f>Midway!AE84</f>
        <v>56.363408364699893</v>
      </c>
    </row>
    <row r="85" spans="1:6" x14ac:dyDescent="0.25">
      <c r="A85" s="53" t="str">
        <f>Midway!H85</f>
        <v>Hwy 33-Wilkinson Cr jct</v>
      </c>
      <c r="B85" s="51">
        <f>Midway!F85</f>
        <v>72.809999752044675</v>
      </c>
      <c r="C85" s="51">
        <f>Midway!AB85</f>
        <v>67.903334186631668</v>
      </c>
      <c r="D85" s="51">
        <f>Midway!AC85</f>
        <v>75.891961738000106</v>
      </c>
      <c r="E85" s="51">
        <f>Midway!AD85</f>
        <v>64.335574054664619</v>
      </c>
      <c r="F85" s="51">
        <f>Midway!AE85</f>
        <v>57.563408364699903</v>
      </c>
    </row>
    <row r="86" spans="1:6" x14ac:dyDescent="0.25">
      <c r="A86" s="57" t="str">
        <f>Midway!H86</f>
        <v>Wilkinson-Ferroux Cr Jct</v>
      </c>
      <c r="B86" s="55">
        <f>Midway!F86</f>
        <v>75.629999752044668</v>
      </c>
      <c r="C86" s="55">
        <f>Midway!AB86</f>
        <v>64.793097052735845</v>
      </c>
      <c r="D86" s="55">
        <f>Midway!AC86</f>
        <v>72.415814353057698</v>
      </c>
      <c r="E86" s="55">
        <f>Midway!AD86</f>
        <v>70.03523818948355</v>
      </c>
      <c r="F86" s="55">
        <f>Midway!AE86</f>
        <v>62.663107853748457</v>
      </c>
    </row>
    <row r="87" spans="1:6" x14ac:dyDescent="0.25">
      <c r="A87" s="53" t="str">
        <f>Midway!H87</f>
        <v>Hwy 33-Rest Area Jcn</v>
      </c>
      <c r="B87" s="51">
        <f>Midway!F87</f>
        <v>77.68999975204467</v>
      </c>
      <c r="C87" s="51">
        <f>Midway!AB87</f>
        <v>68.000416756065462</v>
      </c>
      <c r="D87" s="51">
        <f>Midway!AC87</f>
        <v>76.000465786190816</v>
      </c>
      <c r="E87" s="51">
        <f>Midway!AD87</f>
        <v>68.549579656905479</v>
      </c>
      <c r="F87" s="51">
        <f>Midway!AE87</f>
        <v>61.333834429862797</v>
      </c>
    </row>
    <row r="88" spans="1:6" x14ac:dyDescent="0.25">
      <c r="A88" s="53" t="str">
        <f>Midway!H88</f>
        <v>Hwy 33-Trapping Cr Jct</v>
      </c>
      <c r="B88" s="51">
        <f>Midway!F88</f>
        <v>80.339999752044676</v>
      </c>
      <c r="C88" s="51">
        <f>Midway!AB88</f>
        <v>68.25054132010591</v>
      </c>
      <c r="D88" s="51">
        <f>Midway!AC88</f>
        <v>76.280016769530121</v>
      </c>
      <c r="E88" s="51">
        <f>Midway!AD88</f>
        <v>70.628011029454498</v>
      </c>
      <c r="F88" s="51">
        <f>Midway!AE88</f>
        <v>63.193483552669825</v>
      </c>
    </row>
    <row r="89" spans="1:6" x14ac:dyDescent="0.25">
      <c r="A89" s="53" t="str">
        <f>Midway!H89</f>
        <v>Trapping-East Trapping Cr jct</v>
      </c>
      <c r="B89" s="51">
        <f>Midway!F89</f>
        <v>85.18999975204467</v>
      </c>
      <c r="C89" s="51">
        <f>Midway!AB89</f>
        <v>65.974770914334556</v>
      </c>
      <c r="D89" s="51">
        <f>Midway!AC89</f>
        <v>73.736508668962145</v>
      </c>
      <c r="E89" s="51">
        <f>Midway!AD89</f>
        <v>77.475069852983907</v>
      </c>
      <c r="F89" s="51">
        <f>Midway!AE89</f>
        <v>69.319799342143497</v>
      </c>
    </row>
    <row r="90" spans="1:6" x14ac:dyDescent="0.25">
      <c r="A90" s="53" t="str">
        <f>Midway!H91</f>
        <v>Trapping-Ptarmigan Jct</v>
      </c>
      <c r="B90" s="51">
        <f>Midway!F91</f>
        <v>88.639999799728386</v>
      </c>
      <c r="C90" s="51">
        <f>Midway!AB91</f>
        <v>64.586283105640348</v>
      </c>
      <c r="D90" s="51">
        <f>Midway!AC91</f>
        <v>72.184669353362736</v>
      </c>
      <c r="E90" s="51">
        <f>Midway!AD91</f>
        <v>82.34565812193712</v>
      </c>
      <c r="F90" s="51">
        <f>Midway!AE91</f>
        <v>73.677694109101637</v>
      </c>
    </row>
    <row r="91" spans="1:6" x14ac:dyDescent="0.25">
      <c r="A91" s="53" t="str">
        <f>Midway!H92</f>
        <v>Copperkettle-Lassie Lk Jct</v>
      </c>
      <c r="B91" s="51">
        <f>Midway!F92</f>
        <v>95.11999979972839</v>
      </c>
      <c r="C91" s="51">
        <f>Midway!AB92</f>
        <v>62.377933377816447</v>
      </c>
      <c r="D91" s="51">
        <f>Midway!AC92</f>
        <v>69.716513775206607</v>
      </c>
      <c r="E91" s="51">
        <f>Midway!AD92</f>
        <v>91.49389341605476</v>
      </c>
      <c r="F91" s="51">
        <f>Midway!AE92</f>
        <v>81.862957266996375</v>
      </c>
    </row>
    <row r="92" spans="1:6" x14ac:dyDescent="0.25">
      <c r="A92" s="53" t="str">
        <f>Midway!H93</f>
        <v>Copperkettle-Wolfe Jct</v>
      </c>
      <c r="B92" s="51">
        <f>Midway!F93</f>
        <v>104.0799997997284</v>
      </c>
      <c r="C92" s="51">
        <f>Midway!AB93</f>
        <v>59.963527920922594</v>
      </c>
      <c r="D92" s="51">
        <f>Midway!AC93</f>
        <v>67.018060617501718</v>
      </c>
      <c r="E92" s="51">
        <f>Midway!AD93</f>
        <v>104.14330518076065</v>
      </c>
      <c r="F92" s="51">
        <f>Midway!AE93</f>
        <v>93.180852003838496</v>
      </c>
    </row>
    <row r="93" spans="1:6" x14ac:dyDescent="0.25">
      <c r="A93" s="53" t="str">
        <f>Midway!H94</f>
        <v>Whitefoot 26K</v>
      </c>
      <c r="B93" s="51">
        <f>Midway!F94</f>
        <v>116.1999997997284</v>
      </c>
      <c r="C93" s="51">
        <f>Midway!AB94</f>
        <v>54.001788596150348</v>
      </c>
      <c r="D93" s="51">
        <f>Midway!AC94</f>
        <v>60.354940195697445</v>
      </c>
      <c r="E93" s="51">
        <f>Midway!AD94</f>
        <v>129.10683459252536</v>
      </c>
      <c r="F93" s="51">
        <f>Midway!AE94</f>
        <v>115.51664147752267</v>
      </c>
    </row>
    <row r="94" spans="1:6" x14ac:dyDescent="0.25">
      <c r="A94" s="53" t="str">
        <f>Midway!H95</f>
        <v>Whitefoot 29K</v>
      </c>
      <c r="B94" s="51">
        <f>Midway!F95</f>
        <v>119.1999997997284</v>
      </c>
      <c r="C94" s="51">
        <f>Midway!AB95</f>
        <v>51.985273753343634</v>
      </c>
      <c r="D94" s="51">
        <f>Midway!AC95</f>
        <v>58.101188312560531</v>
      </c>
      <c r="E94" s="51">
        <f>Midway!AD95</f>
        <v>137.5774228278195</v>
      </c>
      <c r="F94" s="51">
        <f>Midway!AE95</f>
        <v>123.09558884594377</v>
      </c>
    </row>
  </sheetData>
  <phoneticPr fontId="0" type="noConversion"/>
  <printOptions horizontalCentered="1" gridLines="1"/>
  <pageMargins left="0.43" right="0.35" top="0.8" bottom="0.68" header="0.5" footer="0.5"/>
  <pageSetup scale="97" fitToHeight="2" orientation="portrait" horizontalDpi="4294967293" r:id="rId1"/>
  <headerFooter alignWithMargins="0">
    <oddHeader>&amp;A</oddHeader>
    <oddFooter>&amp;L&amp;8&amp;F&amp;R&amp;8Printed: 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Grand Forks</vt:lpstr>
      <vt:lpstr>Grand Forks Short</vt:lpstr>
      <vt:lpstr>Midway</vt:lpstr>
      <vt:lpstr>Midway Short</vt:lpstr>
      <vt:lpstr>'Grand Forks Short'!Print_Area</vt:lpstr>
      <vt:lpstr>'Midway Short'!Print_Area</vt:lpstr>
      <vt:lpstr>'Grand Forks'!Print_Titles</vt:lpstr>
      <vt:lpstr>'Grand Forks Short'!Print_Titles</vt:lpstr>
      <vt:lpstr>Midway!Print_Titles</vt:lpstr>
      <vt:lpstr>'Midway Short'!Print_Titles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Barclay</dc:creator>
  <cp:lastModifiedBy>Jaarsma, Amy D FLNR:EX</cp:lastModifiedBy>
  <cp:lastPrinted>2012-11-21T18:40:02Z</cp:lastPrinted>
  <dcterms:created xsi:type="dcterms:W3CDTF">1999-07-14T05:17:22Z</dcterms:created>
  <dcterms:modified xsi:type="dcterms:W3CDTF">2015-10-30T23:37:28Z</dcterms:modified>
</cp:coreProperties>
</file>